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filterPrivacy="1" defaultThemeVersion="124226"/>
  <xr:revisionPtr revIDLastSave="0" documentId="13_ncr:1_{03F01F84-3271-4994-AF85-537BA64A4D0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Оптимизация новая" sheetId="5" r:id="rId1"/>
    <sheet name="Лист2" sheetId="2" r:id="rId2"/>
    <sheet name="Лист3" sheetId="3" r:id="rId3"/>
  </sheets>
  <definedNames>
    <definedName name="_xlnm.Print_Area" localSheetId="0">'Оптимизация новая'!$A$1:$Y$598</definedName>
  </definedNames>
  <calcPr calcId="181029"/>
</workbook>
</file>

<file path=xl/calcChain.xml><?xml version="1.0" encoding="utf-8"?>
<calcChain xmlns="http://schemas.openxmlformats.org/spreadsheetml/2006/main">
  <c r="P325" i="5" l="1"/>
  <c r="T325" i="5"/>
  <c r="U325" i="5"/>
  <c r="V325" i="5"/>
  <c r="Q371" i="5"/>
  <c r="X371" i="5"/>
  <c r="R436" i="5" l="1"/>
  <c r="R64" i="5" l="1"/>
  <c r="T286" i="5" l="1"/>
  <c r="X296" i="5"/>
  <c r="R325" i="5"/>
  <c r="S325" i="5"/>
  <c r="W325" i="5"/>
  <c r="Y325" i="5"/>
  <c r="Q364" i="5"/>
  <c r="Q365" i="5"/>
  <c r="Q366" i="5"/>
  <c r="Q367" i="5"/>
  <c r="Q368" i="5"/>
  <c r="Q369" i="5"/>
  <c r="Q370" i="5"/>
  <c r="Q372" i="5"/>
  <c r="X364" i="5"/>
  <c r="X365" i="5"/>
  <c r="X366" i="5"/>
  <c r="X367" i="5"/>
  <c r="X368" i="5"/>
  <c r="X369" i="5"/>
  <c r="X370" i="5"/>
  <c r="X372" i="5"/>
  <c r="R286" i="5"/>
  <c r="S286" i="5"/>
  <c r="U286" i="5"/>
  <c r="V286" i="5"/>
  <c r="W286" i="5"/>
  <c r="Q296" i="5"/>
  <c r="P286" i="5"/>
  <c r="W271" i="5"/>
  <c r="U148" i="5" l="1"/>
  <c r="U468" i="5"/>
  <c r="U466" i="5" l="1"/>
  <c r="U142" i="5"/>
  <c r="U138" i="5" s="1"/>
  <c r="U150" i="5"/>
  <c r="U147" i="5" s="1"/>
  <c r="Q428" i="5"/>
  <c r="X428" i="5" s="1"/>
  <c r="Q429" i="5"/>
  <c r="X429" i="5" s="1"/>
  <c r="Q430" i="5"/>
  <c r="X430" i="5" s="1"/>
  <c r="Q431" i="5"/>
  <c r="X431" i="5" s="1"/>
  <c r="Q432" i="5"/>
  <c r="X432" i="5" s="1"/>
  <c r="Q433" i="5"/>
  <c r="X433" i="5" s="1"/>
  <c r="W426" i="5"/>
  <c r="S593" i="5"/>
  <c r="T593" i="5"/>
  <c r="U593" i="5"/>
  <c r="V593" i="5"/>
  <c r="R593" i="5"/>
  <c r="P593" i="5"/>
  <c r="U592" i="5"/>
  <c r="U198" i="5"/>
  <c r="U195" i="5" s="1"/>
  <c r="V198" i="5"/>
  <c r="U420" i="5"/>
  <c r="U419" i="5" s="1"/>
  <c r="P486" i="5"/>
  <c r="U486" i="5"/>
  <c r="U473" i="5"/>
  <c r="U435" i="5"/>
  <c r="Q593" i="5" l="1"/>
  <c r="Q518" i="5" l="1"/>
  <c r="Q517" i="5"/>
  <c r="X517" i="5" s="1"/>
  <c r="R504" i="5"/>
  <c r="S504" i="5"/>
  <c r="T504" i="5"/>
  <c r="U504" i="5"/>
  <c r="V504" i="5"/>
  <c r="W504" i="5"/>
  <c r="Q516" i="5"/>
  <c r="X516" i="5" s="1"/>
  <c r="Q515" i="5"/>
  <c r="P518" i="5"/>
  <c r="P504" i="5" s="1"/>
  <c r="P81" i="5"/>
  <c r="R81" i="5"/>
  <c r="Q64" i="5"/>
  <c r="X64" i="5" s="1"/>
  <c r="U87" i="5"/>
  <c r="U81" i="5" s="1"/>
  <c r="X61" i="5"/>
  <c r="X518" i="5" l="1"/>
  <c r="P434" i="5"/>
  <c r="P426" i="5" s="1"/>
  <c r="Q475" i="5"/>
  <c r="X475" i="5" s="1"/>
  <c r="Q474" i="5"/>
  <c r="X474" i="5" s="1"/>
  <c r="Q473" i="5"/>
  <c r="X473" i="5" s="1"/>
  <c r="R72" i="5"/>
  <c r="Q197" i="5" l="1"/>
  <c r="Q198" i="5"/>
  <c r="X198" i="5" s="1"/>
  <c r="Q196" i="5"/>
  <c r="X196" i="5" s="1"/>
  <c r="R195" i="5"/>
  <c r="S195" i="5"/>
  <c r="T195" i="5"/>
  <c r="V195" i="5"/>
  <c r="W195" i="5"/>
  <c r="Q193" i="5"/>
  <c r="X193" i="5" s="1"/>
  <c r="P195" i="5"/>
  <c r="Q195" i="5" l="1"/>
  <c r="X197" i="5"/>
  <c r="X195" i="5" s="1"/>
  <c r="C22" i="2" l="1"/>
  <c r="C34" i="2"/>
  <c r="R25" i="2"/>
  <c r="P25" i="2"/>
  <c r="C38" i="2" l="1"/>
  <c r="Q84" i="5"/>
  <c r="X84" i="5" s="1"/>
  <c r="Q80" i="5"/>
  <c r="R404" i="5" l="1"/>
  <c r="P386" i="5"/>
  <c r="P103" i="5"/>
  <c r="R396" i="5" l="1"/>
  <c r="Q397" i="5"/>
  <c r="P76" i="5"/>
  <c r="P396" i="5"/>
  <c r="Q17" i="5"/>
  <c r="X17" i="5" s="1"/>
  <c r="Q108" i="5" l="1"/>
  <c r="X108" i="5" s="1"/>
  <c r="Q109" i="5"/>
  <c r="X109" i="5" s="1"/>
  <c r="Q111" i="5"/>
  <c r="X111" i="5" s="1"/>
  <c r="Q113" i="5"/>
  <c r="X113" i="5" s="1"/>
  <c r="Q115" i="5"/>
  <c r="X115" i="5" s="1"/>
  <c r="Q116" i="5"/>
  <c r="X116" i="5" s="1"/>
  <c r="Q117" i="5"/>
  <c r="X117" i="5" s="1"/>
  <c r="Q118" i="5"/>
  <c r="Q119" i="5"/>
  <c r="X119" i="5" s="1"/>
  <c r="Q120" i="5"/>
  <c r="X120" i="5" s="1"/>
  <c r="Q121" i="5"/>
  <c r="X121" i="5" s="1"/>
  <c r="Q122" i="5"/>
  <c r="X122" i="5" s="1"/>
  <c r="Q123" i="5"/>
  <c r="X123" i="5" s="1"/>
  <c r="Q124" i="5"/>
  <c r="X124" i="5" s="1"/>
  <c r="Q125" i="5"/>
  <c r="X125" i="5" s="1"/>
  <c r="Q126" i="5"/>
  <c r="X126" i="5" s="1"/>
  <c r="Q127" i="5"/>
  <c r="X127" i="5" s="1"/>
  <c r="R100" i="5"/>
  <c r="S100" i="5"/>
  <c r="T100" i="5"/>
  <c r="U100" i="5"/>
  <c r="V100" i="5"/>
  <c r="W100" i="5"/>
  <c r="R103" i="5"/>
  <c r="S103" i="5"/>
  <c r="T103" i="5"/>
  <c r="U103" i="5"/>
  <c r="V103" i="5"/>
  <c r="W103" i="5"/>
  <c r="R94" i="5"/>
  <c r="S94" i="5"/>
  <c r="T94" i="5"/>
  <c r="U94" i="5"/>
  <c r="V94" i="5"/>
  <c r="W94" i="5"/>
  <c r="S81" i="5"/>
  <c r="T81" i="5"/>
  <c r="V81" i="5"/>
  <c r="W81" i="5"/>
  <c r="R76" i="5"/>
  <c r="S76" i="5"/>
  <c r="T76" i="5"/>
  <c r="U76" i="5"/>
  <c r="V76" i="5"/>
  <c r="W76" i="5"/>
  <c r="R71" i="5"/>
  <c r="S71" i="5"/>
  <c r="T71" i="5"/>
  <c r="U71" i="5"/>
  <c r="V71" i="5"/>
  <c r="W71" i="5"/>
  <c r="R59" i="5"/>
  <c r="S59" i="5"/>
  <c r="S57" i="5" s="1"/>
  <c r="T59" i="5"/>
  <c r="T57" i="5" s="1"/>
  <c r="U57" i="5"/>
  <c r="V59" i="5"/>
  <c r="V57" i="5" s="1"/>
  <c r="W59" i="5"/>
  <c r="W57" i="5" s="1"/>
  <c r="R49" i="5"/>
  <c r="R46" i="5" s="1"/>
  <c r="R19" i="5" s="1"/>
  <c r="S49" i="5"/>
  <c r="S46" i="5" s="1"/>
  <c r="T49" i="5"/>
  <c r="U49" i="5"/>
  <c r="V49" i="5"/>
  <c r="V46" i="5" s="1"/>
  <c r="V19" i="5" s="1"/>
  <c r="W49" i="5"/>
  <c r="W46" i="5" s="1"/>
  <c r="T46" i="5"/>
  <c r="T19" i="5" s="1"/>
  <c r="U46" i="5"/>
  <c r="U19" i="5" s="1"/>
  <c r="W19" i="5"/>
  <c r="R16" i="5"/>
  <c r="R15" i="5" s="1"/>
  <c r="S16" i="5"/>
  <c r="S15" i="5" s="1"/>
  <c r="T16" i="5"/>
  <c r="T15" i="5" s="1"/>
  <c r="U16" i="5"/>
  <c r="U15" i="5" s="1"/>
  <c r="V16" i="5"/>
  <c r="V15" i="5" s="1"/>
  <c r="W16" i="5"/>
  <c r="W15" i="5" s="1"/>
  <c r="P16" i="5"/>
  <c r="U65" i="5" l="1"/>
  <c r="R57" i="5"/>
  <c r="Q59" i="5"/>
  <c r="X59" i="5" s="1"/>
  <c r="Q81" i="5"/>
  <c r="T99" i="5"/>
  <c r="W65" i="5"/>
  <c r="S65" i="5"/>
  <c r="U99" i="5"/>
  <c r="V65" i="5"/>
  <c r="R65" i="5"/>
  <c r="W99" i="5"/>
  <c r="S99" i="5"/>
  <c r="V99" i="5"/>
  <c r="T65" i="5"/>
  <c r="R99" i="5"/>
  <c r="Q354" i="5"/>
  <c r="X354" i="5" s="1"/>
  <c r="Q355" i="5"/>
  <c r="X355" i="5" s="1"/>
  <c r="Q356" i="5"/>
  <c r="X356" i="5" s="1"/>
  <c r="U56" i="5" l="1"/>
  <c r="U55" i="5" s="1"/>
  <c r="U54" i="5" s="1"/>
  <c r="S56" i="5"/>
  <c r="S55" i="5" s="1"/>
  <c r="S54" i="5" s="1"/>
  <c r="T56" i="5"/>
  <c r="T55" i="5" s="1"/>
  <c r="T54" i="5" s="1"/>
  <c r="W56" i="5"/>
  <c r="W55" i="5" s="1"/>
  <c r="W54" i="5" s="1"/>
  <c r="R56" i="5"/>
  <c r="R55" i="5" s="1"/>
  <c r="R54" i="5" s="1"/>
  <c r="V56" i="5"/>
  <c r="V55" i="5" s="1"/>
  <c r="V54" i="5" s="1"/>
  <c r="W253" i="5"/>
  <c r="Q264" i="5"/>
  <c r="X264" i="5" s="1"/>
  <c r="Q266" i="5"/>
  <c r="X266" i="5" s="1"/>
  <c r="Q267" i="5"/>
  <c r="X267" i="5" s="1"/>
  <c r="Q268" i="5"/>
  <c r="X268" i="5" s="1"/>
  <c r="P71" i="5" l="1"/>
  <c r="P57" i="5" l="1"/>
  <c r="P572" i="5" l="1"/>
  <c r="P567" i="5"/>
  <c r="R323" i="5" l="1"/>
  <c r="S323" i="5"/>
  <c r="T323" i="5"/>
  <c r="U323" i="5"/>
  <c r="V323" i="5"/>
  <c r="W323" i="5"/>
  <c r="P323" i="5"/>
  <c r="Q324" i="5"/>
  <c r="X324" i="5" s="1"/>
  <c r="X323" i="5" s="1"/>
  <c r="W321" i="5"/>
  <c r="V321" i="5"/>
  <c r="T321" i="5"/>
  <c r="S321" i="5"/>
  <c r="R321" i="5"/>
  <c r="P321" i="5"/>
  <c r="Q319" i="5"/>
  <c r="X319" i="5" s="1"/>
  <c r="Q320" i="5"/>
  <c r="X320" i="5" s="1"/>
  <c r="Q322" i="5"/>
  <c r="X322" i="5" s="1"/>
  <c r="X321" i="5" s="1"/>
  <c r="W285" i="5" l="1"/>
  <c r="Q323" i="5"/>
  <c r="Q321" i="5"/>
  <c r="Q327" i="5" l="1"/>
  <c r="Q328" i="5"/>
  <c r="X328" i="5" s="1"/>
  <c r="Q331" i="5"/>
  <c r="X331" i="5" s="1"/>
  <c r="Q332" i="5"/>
  <c r="X332" i="5" s="1"/>
  <c r="Q333" i="5"/>
  <c r="X333" i="5" s="1"/>
  <c r="Q334" i="5"/>
  <c r="X334" i="5" s="1"/>
  <c r="P138" i="5"/>
  <c r="Q140" i="5"/>
  <c r="X140" i="5" s="1"/>
  <c r="Q141" i="5"/>
  <c r="X141" i="5" s="1"/>
  <c r="X327" i="5" l="1"/>
  <c r="Q563" i="5"/>
  <c r="R463" i="5" l="1"/>
  <c r="R565" i="5"/>
  <c r="P565" i="5"/>
  <c r="W129" i="5"/>
  <c r="W128" i="5" s="1"/>
  <c r="W14" i="5" s="1"/>
  <c r="Q137" i="5"/>
  <c r="X137" i="5" s="1"/>
  <c r="Q132" i="5"/>
  <c r="Q133" i="5"/>
  <c r="X133" i="5" s="1"/>
  <c r="Q134" i="5"/>
  <c r="X134" i="5" s="1"/>
  <c r="Q135" i="5"/>
  <c r="X135" i="5" s="1"/>
  <c r="Q136" i="5"/>
  <c r="X136" i="5" s="1"/>
  <c r="X563" i="5"/>
  <c r="W226" i="5"/>
  <c r="W225" i="5" s="1"/>
  <c r="V226" i="5"/>
  <c r="Q227" i="5"/>
  <c r="W202" i="5"/>
  <c r="W201" i="5" s="1"/>
  <c r="W200" i="5" s="1"/>
  <c r="W199" i="5" s="1"/>
  <c r="Q203" i="5"/>
  <c r="Q208" i="5"/>
  <c r="X208" i="5" s="1"/>
  <c r="Q588" i="5"/>
  <c r="X588" i="5" s="1"/>
  <c r="Q573" i="5"/>
  <c r="X573" i="5" s="1"/>
  <c r="Q574" i="5"/>
  <c r="X574" i="5" s="1"/>
  <c r="R496" i="5"/>
  <c r="P496" i="5"/>
  <c r="P495" i="5" s="1"/>
  <c r="Q498" i="5"/>
  <c r="X498" i="5" s="1"/>
  <c r="Q499" i="5"/>
  <c r="X499" i="5" s="1"/>
  <c r="V496" i="5"/>
  <c r="T496" i="5"/>
  <c r="S496" i="5"/>
  <c r="Q500" i="5"/>
  <c r="W598" i="5" l="1"/>
  <c r="X500" i="5"/>
  <c r="P448" i="5" l="1"/>
  <c r="Q281" i="5" l="1"/>
  <c r="P15" i="5"/>
  <c r="P22" i="5"/>
  <c r="P31" i="5"/>
  <c r="P34" i="5"/>
  <c r="P38" i="5"/>
  <c r="P42" i="5"/>
  <c r="P47" i="5"/>
  <c r="P49" i="5"/>
  <c r="P68" i="5"/>
  <c r="P65" i="5" s="1"/>
  <c r="P92" i="5"/>
  <c r="P94" i="5"/>
  <c r="P100" i="5"/>
  <c r="P99" i="5" s="1"/>
  <c r="P110" i="5"/>
  <c r="P112" i="5"/>
  <c r="P114" i="5"/>
  <c r="P118" i="5"/>
  <c r="X118" i="5" s="1"/>
  <c r="P130" i="5"/>
  <c r="P132" i="5"/>
  <c r="X132" i="5" s="1"/>
  <c r="P147" i="5"/>
  <c r="P153" i="5"/>
  <c r="P157" i="5"/>
  <c r="P159" i="5"/>
  <c r="P165" i="5"/>
  <c r="P168" i="5"/>
  <c r="P176" i="5"/>
  <c r="P164" i="5" s="1"/>
  <c r="P204" i="5"/>
  <c r="P202" i="5" s="1"/>
  <c r="P211" i="5"/>
  <c r="P214" i="5"/>
  <c r="P218" i="5"/>
  <c r="P220" i="5"/>
  <c r="P226" i="5"/>
  <c r="P229" i="5"/>
  <c r="P231" i="5"/>
  <c r="P237" i="5"/>
  <c r="P228" i="5" s="1"/>
  <c r="P243" i="5"/>
  <c r="P249" i="5"/>
  <c r="P248" i="5" s="1"/>
  <c r="P247" i="5" s="1"/>
  <c r="P246" i="5" s="1"/>
  <c r="P251" i="5"/>
  <c r="P258" i="5"/>
  <c r="P262" i="5"/>
  <c r="P265" i="5"/>
  <c r="P269" i="5"/>
  <c r="P275" i="5"/>
  <c r="P271" i="5" s="1"/>
  <c r="P298" i="5"/>
  <c r="P300" i="5"/>
  <c r="P309" i="5"/>
  <c r="P376" i="5"/>
  <c r="P374" i="5" s="1"/>
  <c r="P383" i="5"/>
  <c r="P389" i="5"/>
  <c r="P401" i="5"/>
  <c r="P404" i="5"/>
  <c r="P407" i="5"/>
  <c r="P411" i="5"/>
  <c r="P413" i="5"/>
  <c r="P419" i="5"/>
  <c r="P453" i="5"/>
  <c r="P458" i="5"/>
  <c r="P463" i="5"/>
  <c r="P472" i="5"/>
  <c r="P520" i="5"/>
  <c r="P522" i="5"/>
  <c r="P525" i="5"/>
  <c r="P528" i="5"/>
  <c r="P534" i="5"/>
  <c r="P532" i="5" s="1"/>
  <c r="P547" i="5"/>
  <c r="P544" i="5" s="1"/>
  <c r="P543" i="5" s="1"/>
  <c r="P542" i="5" s="1"/>
  <c r="P583" i="5"/>
  <c r="P575" i="5" s="1"/>
  <c r="P564" i="5" s="1"/>
  <c r="P562" i="5" s="1"/>
  <c r="P592" i="5"/>
  <c r="P591" i="5" s="1"/>
  <c r="P589" i="5" s="1"/>
  <c r="P254" i="5" l="1"/>
  <c r="P56" i="5"/>
  <c r="P129" i="5"/>
  <c r="P128" i="5" s="1"/>
  <c r="P225" i="5"/>
  <c r="P410" i="5"/>
  <c r="P380" i="5"/>
  <c r="P400" i="5"/>
  <c r="P28" i="5"/>
  <c r="P445" i="5"/>
  <c r="P425" i="5" s="1"/>
  <c r="P424" i="5" s="1"/>
  <c r="P423" i="5" s="1"/>
  <c r="P285" i="5"/>
  <c r="P284" i="5" s="1"/>
  <c r="P217" i="5"/>
  <c r="P46" i="5"/>
  <c r="P19" i="5" s="1"/>
  <c r="P209" i="5"/>
  <c r="P201" i="5" s="1"/>
  <c r="P200" i="5" s="1"/>
  <c r="P199" i="5" s="1"/>
  <c r="P519" i="5"/>
  <c r="P107" i="5"/>
  <c r="P253" i="5" l="1"/>
  <c r="P242" i="5" s="1"/>
  <c r="P55" i="5"/>
  <c r="P54" i="5" s="1"/>
  <c r="P373" i="5"/>
  <c r="P283" i="5" s="1"/>
  <c r="P21" i="5"/>
  <c r="P20" i="5" s="1"/>
  <c r="P422" i="5"/>
  <c r="P14" i="5" l="1"/>
  <c r="P598" i="5" s="1"/>
  <c r="S112" i="5"/>
  <c r="V107" i="5"/>
  <c r="Q443" i="5"/>
  <c r="X443" i="5" s="1"/>
  <c r="Q444" i="5"/>
  <c r="X444" i="5" s="1"/>
  <c r="R147" i="5"/>
  <c r="S147" i="5"/>
  <c r="T147" i="5"/>
  <c r="V147" i="5"/>
  <c r="Q151" i="5"/>
  <c r="X151" i="5" s="1"/>
  <c r="Q152" i="5"/>
  <c r="X152" i="5" s="1"/>
  <c r="Q427" i="5"/>
  <c r="X427" i="5" s="1"/>
  <c r="Q440" i="5"/>
  <c r="X440" i="5" s="1"/>
  <c r="Q441" i="5"/>
  <c r="X441" i="5" s="1"/>
  <c r="Q442" i="5"/>
  <c r="X442" i="5" s="1"/>
  <c r="R547" i="5"/>
  <c r="S547" i="5"/>
  <c r="T547" i="5"/>
  <c r="U547" i="5"/>
  <c r="V547" i="5"/>
  <c r="Q561" i="5"/>
  <c r="X561" i="5" s="1"/>
  <c r="Q560" i="5"/>
  <c r="X560" i="5" s="1"/>
  <c r="Q559" i="5"/>
  <c r="X559" i="5" s="1"/>
  <c r="Q554" i="5"/>
  <c r="Q555" i="5"/>
  <c r="Q556" i="5"/>
  <c r="Q557" i="5"/>
  <c r="Q558" i="5"/>
  <c r="X558" i="5" s="1"/>
  <c r="Q587" i="5" l="1"/>
  <c r="X587" i="5" s="1"/>
  <c r="V575" i="5"/>
  <c r="Q586" i="5"/>
  <c r="X586" i="5" s="1"/>
  <c r="Q341" i="5"/>
  <c r="X341" i="5" s="1"/>
  <c r="R275" i="5"/>
  <c r="R271" i="5" s="1"/>
  <c r="S275" i="5"/>
  <c r="S271" i="5" s="1"/>
  <c r="T275" i="5"/>
  <c r="T271" i="5" s="1"/>
  <c r="U275" i="5"/>
  <c r="U271" i="5" s="1"/>
  <c r="V275" i="5"/>
  <c r="V271" i="5" s="1"/>
  <c r="Q282" i="5"/>
  <c r="X282" i="5" s="1"/>
  <c r="Q278" i="5"/>
  <c r="X278" i="5" s="1"/>
  <c r="X281" i="5"/>
  <c r="Q277" i="5"/>
  <c r="X277" i="5" s="1"/>
  <c r="Q279" i="5"/>
  <c r="X279" i="5" s="1"/>
  <c r="Q597" i="5" l="1"/>
  <c r="Q596" i="5"/>
  <c r="Q594" i="5"/>
  <c r="U591" i="5"/>
  <c r="U589" i="5" s="1"/>
  <c r="V592" i="5"/>
  <c r="V591" i="5" s="1"/>
  <c r="V589" i="5" s="1"/>
  <c r="Q590" i="5"/>
  <c r="Q577" i="5"/>
  <c r="Q578" i="5"/>
  <c r="Q579" i="5"/>
  <c r="Q580" i="5"/>
  <c r="Q581" i="5"/>
  <c r="Q576" i="5"/>
  <c r="Q567" i="5"/>
  <c r="Q568" i="5"/>
  <c r="Q569" i="5"/>
  <c r="Q570" i="5"/>
  <c r="Q571" i="5"/>
  <c r="Q572" i="5"/>
  <c r="Q566" i="5"/>
  <c r="U565" i="5"/>
  <c r="V565" i="5"/>
  <c r="Q549" i="5"/>
  <c r="Q550" i="5"/>
  <c r="Q551" i="5"/>
  <c r="Q552" i="5"/>
  <c r="Q553" i="5"/>
  <c r="Q548" i="5"/>
  <c r="U544" i="5"/>
  <c r="V544" i="5"/>
  <c r="Q536" i="5"/>
  <c r="Q537" i="5"/>
  <c r="Q538" i="5"/>
  <c r="Q539" i="5"/>
  <c r="Q540" i="5"/>
  <c r="Q541" i="5"/>
  <c r="Q535" i="5"/>
  <c r="Q533" i="5"/>
  <c r="U534" i="5"/>
  <c r="U532" i="5" s="1"/>
  <c r="V534" i="5"/>
  <c r="V532" i="5" s="1"/>
  <c r="Q530" i="5"/>
  <c r="Q531" i="5"/>
  <c r="Q529" i="5"/>
  <c r="U528" i="5"/>
  <c r="V528" i="5"/>
  <c r="Q527" i="5"/>
  <c r="Q526" i="5"/>
  <c r="U525" i="5"/>
  <c r="V525" i="5"/>
  <c r="Q523" i="5"/>
  <c r="U522" i="5"/>
  <c r="V522" i="5"/>
  <c r="Q521" i="5"/>
  <c r="U520" i="5"/>
  <c r="V520" i="5"/>
  <c r="Q506" i="5"/>
  <c r="Q507" i="5"/>
  <c r="Q508" i="5"/>
  <c r="Q509" i="5"/>
  <c r="Q510" i="5"/>
  <c r="Q511" i="5"/>
  <c r="Q512" i="5"/>
  <c r="Q513" i="5"/>
  <c r="Q514" i="5"/>
  <c r="Q505" i="5"/>
  <c r="V495" i="5"/>
  <c r="Q503" i="5"/>
  <c r="Q501" i="5"/>
  <c r="Q502" i="5"/>
  <c r="Q497" i="5"/>
  <c r="U496" i="5"/>
  <c r="Q494" i="5"/>
  <c r="Q488" i="5"/>
  <c r="Q489" i="5"/>
  <c r="Q490" i="5"/>
  <c r="Q491" i="5"/>
  <c r="Q492" i="5"/>
  <c r="Q493" i="5"/>
  <c r="Q487" i="5"/>
  <c r="Q485" i="5"/>
  <c r="V486" i="5"/>
  <c r="Q476" i="5"/>
  <c r="Q477" i="5"/>
  <c r="Q478" i="5"/>
  <c r="Q479" i="5"/>
  <c r="Q480" i="5"/>
  <c r="Q481" i="5"/>
  <c r="Q482" i="5"/>
  <c r="Q483" i="5"/>
  <c r="Q484" i="5"/>
  <c r="U472" i="5"/>
  <c r="V472" i="5"/>
  <c r="Q471" i="5"/>
  <c r="Q466" i="5"/>
  <c r="Q467" i="5"/>
  <c r="Q468" i="5"/>
  <c r="Q469" i="5"/>
  <c r="X469" i="5" s="1"/>
  <c r="Q470" i="5"/>
  <c r="Q465" i="5"/>
  <c r="U463" i="5"/>
  <c r="V463" i="5"/>
  <c r="Q460" i="5"/>
  <c r="Q461" i="5"/>
  <c r="Q462" i="5"/>
  <c r="Q459" i="5"/>
  <c r="U458" i="5"/>
  <c r="V458" i="5"/>
  <c r="Q457" i="5"/>
  <c r="Q455" i="5"/>
  <c r="Q456" i="5"/>
  <c r="Q454" i="5"/>
  <c r="U453" i="5"/>
  <c r="V453" i="5"/>
  <c r="Q451" i="5"/>
  <c r="Q449" i="5"/>
  <c r="U448" i="5"/>
  <c r="V448" i="5"/>
  <c r="Q447" i="5"/>
  <c r="Q446" i="5"/>
  <c r="Q439" i="5"/>
  <c r="Q438" i="5"/>
  <c r="Q437" i="5"/>
  <c r="Q436" i="5"/>
  <c r="Q435" i="5"/>
  <c r="U434" i="5"/>
  <c r="U426" i="5" s="1"/>
  <c r="V434" i="5"/>
  <c r="V426" i="5" s="1"/>
  <c r="Q420" i="5"/>
  <c r="V419" i="5"/>
  <c r="Q418" i="5"/>
  <c r="Q415" i="5"/>
  <c r="U413" i="5"/>
  <c r="V413" i="5"/>
  <c r="Q412" i="5"/>
  <c r="U411" i="5"/>
  <c r="V411" i="5"/>
  <c r="Q409" i="5"/>
  <c r="Q408" i="5"/>
  <c r="U407" i="5"/>
  <c r="V407" i="5"/>
  <c r="Q406" i="5"/>
  <c r="Q405" i="5"/>
  <c r="U404" i="5"/>
  <c r="V404" i="5"/>
  <c r="V400" i="5" s="1"/>
  <c r="Q399" i="5"/>
  <c r="Q398" i="5"/>
  <c r="U396" i="5"/>
  <c r="V396" i="5"/>
  <c r="Q391" i="5"/>
  <c r="U389" i="5"/>
  <c r="V389" i="5"/>
  <c r="Q388" i="5"/>
  <c r="U386" i="5"/>
  <c r="V386" i="5"/>
  <c r="Q382" i="5"/>
  <c r="Q381" i="5"/>
  <c r="Q379" i="5"/>
  <c r="Q378" i="5"/>
  <c r="Q377" i="5"/>
  <c r="U376" i="5"/>
  <c r="U374" i="5" s="1"/>
  <c r="V376" i="5"/>
  <c r="V374" i="5" s="1"/>
  <c r="Q375" i="5"/>
  <c r="Q329" i="5"/>
  <c r="Q330" i="5"/>
  <c r="Q335" i="5"/>
  <c r="Q336" i="5"/>
  <c r="Q337" i="5"/>
  <c r="Q338" i="5"/>
  <c r="Q339" i="5"/>
  <c r="Q340" i="5"/>
  <c r="Q342" i="5"/>
  <c r="Q343" i="5"/>
  <c r="Q344" i="5"/>
  <c r="Q345" i="5"/>
  <c r="Q346" i="5"/>
  <c r="Q347" i="5"/>
  <c r="Q348" i="5"/>
  <c r="Q349" i="5"/>
  <c r="Q350" i="5"/>
  <c r="Q351" i="5"/>
  <c r="Q352" i="5"/>
  <c r="Q353" i="5"/>
  <c r="Q357" i="5"/>
  <c r="Q358" i="5"/>
  <c r="Q359" i="5"/>
  <c r="Q360" i="5"/>
  <c r="Q361" i="5"/>
  <c r="Q362" i="5"/>
  <c r="Q363" i="5"/>
  <c r="Q326" i="5"/>
  <c r="Q325" i="5" s="1"/>
  <c r="Q318" i="5"/>
  <c r="U309" i="5"/>
  <c r="V309" i="5"/>
  <c r="Q297" i="5"/>
  <c r="Q295" i="5"/>
  <c r="V285" i="5"/>
  <c r="Q280" i="5"/>
  <c r="Q276" i="5"/>
  <c r="Q272" i="5"/>
  <c r="Q270" i="5"/>
  <c r="U269" i="5"/>
  <c r="V269" i="5"/>
  <c r="U265" i="5"/>
  <c r="V265" i="5"/>
  <c r="Q263" i="5"/>
  <c r="U262" i="5"/>
  <c r="V262" i="5"/>
  <c r="Q250" i="5"/>
  <c r="U249" i="5"/>
  <c r="U248" i="5" s="1"/>
  <c r="U247" i="5" s="1"/>
  <c r="U246" i="5" s="1"/>
  <c r="V249" i="5"/>
  <c r="V248" i="5" s="1"/>
  <c r="V247" i="5" s="1"/>
  <c r="V246" i="5" s="1"/>
  <c r="Q245" i="5"/>
  <c r="U243" i="5"/>
  <c r="V243" i="5"/>
  <c r="Q241" i="5"/>
  <c r="Q240" i="5"/>
  <c r="Q239" i="5"/>
  <c r="Q238" i="5"/>
  <c r="U237" i="5"/>
  <c r="V237" i="5"/>
  <c r="Q235" i="5"/>
  <c r="U233" i="5"/>
  <c r="V233" i="5"/>
  <c r="Q230" i="5"/>
  <c r="U229" i="5"/>
  <c r="V229" i="5"/>
  <c r="U226" i="5"/>
  <c r="Q224" i="5"/>
  <c r="Q223" i="5"/>
  <c r="Q222" i="5"/>
  <c r="Q216" i="5"/>
  <c r="Q215" i="5"/>
  <c r="U214" i="5"/>
  <c r="U209" i="5" s="1"/>
  <c r="V214" i="5"/>
  <c r="V209" i="5" s="1"/>
  <c r="Q207" i="5"/>
  <c r="Q205" i="5"/>
  <c r="U204" i="5"/>
  <c r="U202" i="5" s="1"/>
  <c r="V204" i="5"/>
  <c r="V202" i="5" s="1"/>
  <c r="Q194" i="5"/>
  <c r="Q192" i="5"/>
  <c r="Q189" i="5"/>
  <c r="Q188" i="5"/>
  <c r="Q187" i="5"/>
  <c r="Q186" i="5"/>
  <c r="Q185" i="5"/>
  <c r="Q184" i="5"/>
  <c r="Q183" i="5"/>
  <c r="Q182" i="5"/>
  <c r="Q181" i="5"/>
  <c r="X181" i="5" s="1"/>
  <c r="Q180" i="5"/>
  <c r="X180" i="5" s="1"/>
  <c r="Q178" i="5"/>
  <c r="X178" i="5" s="1"/>
  <c r="U176" i="5"/>
  <c r="U164" i="5" s="1"/>
  <c r="V176" i="5"/>
  <c r="V164" i="5" s="1"/>
  <c r="Q163" i="5"/>
  <c r="Q162" i="5"/>
  <c r="Q161" i="5"/>
  <c r="U159" i="5"/>
  <c r="V159" i="5"/>
  <c r="Q156" i="5"/>
  <c r="Q154" i="5"/>
  <c r="U153" i="5"/>
  <c r="V153" i="5"/>
  <c r="Q150" i="5"/>
  <c r="Q148" i="5"/>
  <c r="Q144" i="5"/>
  <c r="Q142" i="5"/>
  <c r="Q139" i="5"/>
  <c r="V138" i="5"/>
  <c r="Q131" i="5"/>
  <c r="U130" i="5"/>
  <c r="V130" i="5"/>
  <c r="Q106" i="5"/>
  <c r="Q105" i="5"/>
  <c r="Q101" i="5"/>
  <c r="Q97" i="5"/>
  <c r="Q87" i="5"/>
  <c r="Q88" i="5"/>
  <c r="Q76" i="5"/>
  <c r="Q75" i="5"/>
  <c r="Q74" i="5"/>
  <c r="Q73" i="5"/>
  <c r="Q72" i="5"/>
  <c r="Q67" i="5"/>
  <c r="Q66" i="5"/>
  <c r="Q63" i="5"/>
  <c r="Q62" i="5"/>
  <c r="X62" i="5" s="1"/>
  <c r="Q60" i="5"/>
  <c r="X60" i="5" s="1"/>
  <c r="Q58" i="5"/>
  <c r="Q52" i="5"/>
  <c r="Q51" i="5"/>
  <c r="V21" i="5"/>
  <c r="V20" i="5" s="1"/>
  <c r="Q18" i="5"/>
  <c r="Q16" i="5" s="1"/>
  <c r="Q15" i="5" s="1"/>
  <c r="Q504" i="5" l="1"/>
  <c r="X514" i="5"/>
  <c r="Q396" i="5"/>
  <c r="Q103" i="5"/>
  <c r="Q57" i="5"/>
  <c r="Q71" i="5"/>
  <c r="V129" i="5"/>
  <c r="V228" i="5"/>
  <c r="V225" i="5" s="1"/>
  <c r="U410" i="5"/>
  <c r="Q565" i="5"/>
  <c r="U129" i="5"/>
  <c r="U128" i="5" s="1"/>
  <c r="V254" i="5"/>
  <c r="V445" i="5"/>
  <c r="V425" i="5" s="1"/>
  <c r="V424" i="5" s="1"/>
  <c r="V423" i="5" s="1"/>
  <c r="V564" i="5"/>
  <c r="V562" i="5" s="1"/>
  <c r="Q496" i="5"/>
  <c r="U228" i="5"/>
  <c r="U225" i="5" s="1"/>
  <c r="V410" i="5"/>
  <c r="V284" i="5"/>
  <c r="V380" i="5"/>
  <c r="V373" i="5" s="1"/>
  <c r="Q547" i="5"/>
  <c r="V543" i="5"/>
  <c r="V542" i="5" s="1"/>
  <c r="U543" i="5"/>
  <c r="U542" i="5" s="1"/>
  <c r="V519" i="5"/>
  <c r="Q275" i="5"/>
  <c r="U519" i="5"/>
  <c r="U495" i="5"/>
  <c r="U445" i="5"/>
  <c r="U380" i="5"/>
  <c r="U254" i="5"/>
  <c r="V201" i="5"/>
  <c r="V200" i="5" s="1"/>
  <c r="V199" i="5" s="1"/>
  <c r="U201" i="5"/>
  <c r="U200" i="5" s="1"/>
  <c r="U199" i="5" s="1"/>
  <c r="X381" i="5"/>
  <c r="X275" i="5" l="1"/>
  <c r="Q495" i="5"/>
  <c r="V128" i="5"/>
  <c r="V14" i="5" s="1"/>
  <c r="U253" i="5"/>
  <c r="U242" i="5" s="1"/>
  <c r="V253" i="5"/>
  <c r="V242" i="5" s="1"/>
  <c r="V283" i="5"/>
  <c r="V422" i="5"/>
  <c r="V598" i="5" l="1"/>
  <c r="R176" i="5"/>
  <c r="S176" i="5"/>
  <c r="T176" i="5"/>
  <c r="X188" i="5" l="1"/>
  <c r="X533" i="5" l="1"/>
  <c r="R159" i="5" l="1"/>
  <c r="S159" i="5"/>
  <c r="T159" i="5"/>
  <c r="X163" i="5" l="1"/>
  <c r="X511" i="5" l="1"/>
  <c r="X501" i="5"/>
  <c r="I501" i="5"/>
  <c r="N501" i="5" s="1"/>
  <c r="X326" i="5" l="1"/>
  <c r="X329" i="5"/>
  <c r="Q145" i="5"/>
  <c r="X145" i="5" s="1"/>
  <c r="T463" i="5"/>
  <c r="R434" i="5"/>
  <c r="R426" i="5" s="1"/>
  <c r="S434" i="5"/>
  <c r="S426" i="5" s="1"/>
  <c r="T434" i="5"/>
  <c r="T426" i="5" s="1"/>
  <c r="X438" i="5"/>
  <c r="I503" i="5" l="1"/>
  <c r="N503" i="5" s="1"/>
  <c r="R229" i="5" l="1"/>
  <c r="S229" i="5"/>
  <c r="T229" i="5"/>
  <c r="R214" i="5"/>
  <c r="R209" i="5" s="1"/>
  <c r="S214" i="5"/>
  <c r="S209" i="5" s="1"/>
  <c r="T214" i="5"/>
  <c r="T209" i="5" s="1"/>
  <c r="X216" i="5"/>
  <c r="I216" i="5"/>
  <c r="N216" i="5" s="1"/>
  <c r="R204" i="5"/>
  <c r="S204" i="5"/>
  <c r="T204" i="5"/>
  <c r="I205" i="5"/>
  <c r="N205" i="5" s="1"/>
  <c r="X205" i="5" l="1"/>
  <c r="R386" i="5"/>
  <c r="S386" i="5"/>
  <c r="T386" i="5"/>
  <c r="X338" i="5" l="1"/>
  <c r="R592" i="5" l="1"/>
  <c r="R591" i="5" s="1"/>
  <c r="R589" i="5" s="1"/>
  <c r="R583" i="5"/>
  <c r="R575" i="5" s="1"/>
  <c r="R564" i="5" s="1"/>
  <c r="R544" i="5"/>
  <c r="R534" i="5"/>
  <c r="R532" i="5" s="1"/>
  <c r="R528" i="5"/>
  <c r="R525" i="5"/>
  <c r="R522" i="5"/>
  <c r="R520" i="5"/>
  <c r="R486" i="5"/>
  <c r="R472" i="5"/>
  <c r="R458" i="5"/>
  <c r="R453" i="5"/>
  <c r="R448" i="5"/>
  <c r="R419" i="5"/>
  <c r="R413" i="5"/>
  <c r="R411" i="5"/>
  <c r="R407" i="5"/>
  <c r="R401" i="5"/>
  <c r="R389" i="5"/>
  <c r="R380" i="5" s="1"/>
  <c r="R376" i="5"/>
  <c r="R374" i="5" s="1"/>
  <c r="R309" i="5"/>
  <c r="R298" i="5"/>
  <c r="R269" i="5"/>
  <c r="R265" i="5"/>
  <c r="R262" i="5"/>
  <c r="R249" i="5"/>
  <c r="R248" i="5" s="1"/>
  <c r="R247" i="5" s="1"/>
  <c r="R246" i="5" s="1"/>
  <c r="R243" i="5"/>
  <c r="R237" i="5"/>
  <c r="R228" i="5" s="1"/>
  <c r="R226" i="5"/>
  <c r="R202" i="5"/>
  <c r="R164" i="5"/>
  <c r="R168" i="5"/>
  <c r="R165" i="5"/>
  <c r="R153" i="5"/>
  <c r="R138" i="5"/>
  <c r="R130" i="5"/>
  <c r="R114" i="5"/>
  <c r="R112" i="5"/>
  <c r="R110" i="5"/>
  <c r="R28" i="5"/>
  <c r="R22" i="5"/>
  <c r="X187" i="5"/>
  <c r="R445" i="5" l="1"/>
  <c r="R285" i="5"/>
  <c r="R284" i="5" s="1"/>
  <c r="R129" i="5"/>
  <c r="R128" i="5" s="1"/>
  <c r="R562" i="5"/>
  <c r="R107" i="5"/>
  <c r="R400" i="5"/>
  <c r="R373" i="5" s="1"/>
  <c r="R543" i="5"/>
  <c r="R542" i="5" s="1"/>
  <c r="R201" i="5"/>
  <c r="R200" i="5" s="1"/>
  <c r="R519" i="5"/>
  <c r="R495" i="5"/>
  <c r="R225" i="5"/>
  <c r="R410" i="5"/>
  <c r="R21" i="5"/>
  <c r="R20" i="5" s="1"/>
  <c r="R254" i="5"/>
  <c r="S486" i="5"/>
  <c r="T486" i="5"/>
  <c r="R14" i="5" l="1"/>
  <c r="R253" i="5"/>
  <c r="R242" i="5" s="1"/>
  <c r="R425" i="5"/>
  <c r="R424" i="5" s="1"/>
  <c r="R423" i="5" s="1"/>
  <c r="R422" i="5" s="1"/>
  <c r="R283" i="5"/>
  <c r="X494" i="5"/>
  <c r="S413" i="5" l="1"/>
  <c r="T413" i="5"/>
  <c r="Q416" i="5"/>
  <c r="X416" i="5" s="1"/>
  <c r="Q417" i="5"/>
  <c r="X417" i="5" s="1"/>
  <c r="X418" i="5"/>
  <c r="S534" i="5" l="1"/>
  <c r="S532" i="5" s="1"/>
  <c r="T534" i="5"/>
  <c r="T532" i="5" s="1"/>
  <c r="X541" i="5" l="1"/>
  <c r="X186" i="5"/>
  <c r="X184" i="5" l="1"/>
  <c r="T164" i="5"/>
  <c r="Q165" i="5"/>
  <c r="S165" i="5"/>
  <c r="T165" i="5"/>
  <c r="U165" i="5"/>
  <c r="X165" i="5"/>
  <c r="Q168" i="5"/>
  <c r="S168" i="5"/>
  <c r="T168" i="5"/>
  <c r="U168" i="5"/>
  <c r="X168" i="5"/>
  <c r="S164" i="5"/>
  <c r="X185" i="5" l="1"/>
  <c r="Q229" i="5" l="1"/>
  <c r="Q231" i="5"/>
  <c r="Q232" i="5"/>
  <c r="Q234" i="5"/>
  <c r="X359" i="5" l="1"/>
  <c r="X235" i="5"/>
  <c r="Q236" i="5"/>
  <c r="X236" i="5" s="1"/>
  <c r="X238" i="5"/>
  <c r="X239" i="5"/>
  <c r="X240" i="5"/>
  <c r="X241" i="5"/>
  <c r="S237" i="5"/>
  <c r="T237" i="5"/>
  <c r="X232" i="5"/>
  <c r="X234" i="5"/>
  <c r="S233" i="5"/>
  <c r="T233" i="5"/>
  <c r="X183" i="5"/>
  <c r="Q237" i="5" l="1"/>
  <c r="X237" i="5" s="1"/>
  <c r="S228" i="5"/>
  <c r="Q233" i="5"/>
  <c r="T228" i="5"/>
  <c r="X182" i="5"/>
  <c r="X194" i="5"/>
  <c r="X554" i="5"/>
  <c r="X555" i="5"/>
  <c r="X556" i="5"/>
  <c r="X557" i="5"/>
  <c r="Q228" i="5" l="1"/>
  <c r="X233" i="5"/>
  <c r="Q273" i="5" l="1"/>
  <c r="X273" i="5" s="1"/>
  <c r="Q274" i="5"/>
  <c r="X276" i="5"/>
  <c r="X280" i="5"/>
  <c r="X274" i="5" l="1"/>
  <c r="Q271" i="5"/>
  <c r="Q546" i="5" l="1"/>
  <c r="Q545" i="5"/>
  <c r="X361" i="5"/>
  <c r="X362" i="5"/>
  <c r="X545" i="5" l="1"/>
  <c r="X546" i="5"/>
  <c r="X580" i="5"/>
  <c r="S28" i="5" l="1"/>
  <c r="T28" i="5"/>
  <c r="U28" i="5"/>
  <c r="Q31" i="5"/>
  <c r="Q32" i="5"/>
  <c r="X32" i="5" s="1"/>
  <c r="Q33" i="5"/>
  <c r="Q34" i="5"/>
  <c r="Q35" i="5"/>
  <c r="X35" i="5" s="1"/>
  <c r="Q36" i="5"/>
  <c r="X36" i="5" s="1"/>
  <c r="Q37" i="5"/>
  <c r="X37" i="5" s="1"/>
  <c r="Q38" i="5"/>
  <c r="Q39" i="5"/>
  <c r="X39" i="5" s="1"/>
  <c r="Q40" i="5"/>
  <c r="X40" i="5" s="1"/>
  <c r="Q41" i="5"/>
  <c r="X41" i="5" s="1"/>
  <c r="Q42" i="5"/>
  <c r="Q43" i="5"/>
  <c r="X43" i="5" s="1"/>
  <c r="Q44" i="5"/>
  <c r="X44" i="5" s="1"/>
  <c r="Q45" i="5"/>
  <c r="X45" i="5" s="1"/>
  <c r="X33" i="5" l="1"/>
  <c r="T243" i="5"/>
  <c r="S243" i="5"/>
  <c r="X245" i="5"/>
  <c r="Q243" i="5" l="1"/>
  <c r="X243" i="5" s="1"/>
  <c r="X139" i="5" l="1"/>
  <c r="X335" i="5" l="1"/>
  <c r="Q582" i="5" l="1"/>
  <c r="S565" i="5"/>
  <c r="T565" i="5"/>
  <c r="X582" i="5" l="1"/>
  <c r="X572" i="5"/>
  <c r="X571" i="5"/>
  <c r="S472" i="5"/>
  <c r="T472" i="5"/>
  <c r="X485" i="5"/>
  <c r="Q421" i="5"/>
  <c r="X421" i="5" s="1"/>
  <c r="X420" i="5"/>
  <c r="S419" i="5"/>
  <c r="T419" i="5"/>
  <c r="X540" i="5" l="1"/>
  <c r="X539" i="5"/>
  <c r="Q419" i="5"/>
  <c r="X419" i="5"/>
  <c r="S389" i="5"/>
  <c r="T389" i="5"/>
  <c r="Q392" i="5"/>
  <c r="X392" i="5" s="1"/>
  <c r="Q393" i="5"/>
  <c r="Q394" i="5"/>
  <c r="X394" i="5" s="1"/>
  <c r="Q395" i="5"/>
  <c r="X395" i="5" s="1"/>
  <c r="X350" i="5"/>
  <c r="X347" i="5"/>
  <c r="X393" i="5" l="1"/>
  <c r="Q210" i="5"/>
  <c r="X210" i="5" s="1"/>
  <c r="Q211" i="5"/>
  <c r="Q212" i="5"/>
  <c r="X212" i="5" s="1"/>
  <c r="Q213" i="5"/>
  <c r="X213" i="5" s="1"/>
  <c r="Q217" i="5"/>
  <c r="Q218" i="5"/>
  <c r="Q219" i="5"/>
  <c r="X219" i="5" s="1"/>
  <c r="Q220" i="5"/>
  <c r="Q221" i="5"/>
  <c r="X221" i="5" s="1"/>
  <c r="X222" i="5"/>
  <c r="X162" i="5"/>
  <c r="X215" i="5" l="1"/>
  <c r="X214" i="5" s="1"/>
  <c r="X209" i="5" s="1"/>
  <c r="Q214" i="5"/>
  <c r="Q209" i="5" s="1"/>
  <c r="Q98" i="5"/>
  <c r="X98" i="5" l="1"/>
  <c r="Q94" i="5"/>
  <c r="Q53" i="5"/>
  <c r="Q49" i="5" s="1"/>
  <c r="Q46" i="5" s="1"/>
  <c r="Q19" i="5" s="1"/>
  <c r="X53" i="5" l="1"/>
  <c r="S249" i="5" l="1"/>
  <c r="T249" i="5"/>
  <c r="S262" i="5"/>
  <c r="T262" i="5"/>
  <c r="S401" i="5" l="1"/>
  <c r="T401" i="5"/>
  <c r="U401" i="5"/>
  <c r="U400" i="5" s="1"/>
  <c r="U373" i="5" s="1"/>
  <c r="Q403" i="5"/>
  <c r="Q402" i="5"/>
  <c r="X402" i="5" s="1"/>
  <c r="X536" i="5" l="1"/>
  <c r="X505" i="5"/>
  <c r="Q401" i="5"/>
  <c r="X403" i="5"/>
  <c r="X401" i="5" s="1"/>
  <c r="S583" i="5"/>
  <c r="S575" i="5" s="1"/>
  <c r="S564" i="5" s="1"/>
  <c r="T583" i="5"/>
  <c r="T575" i="5" s="1"/>
  <c r="T564" i="5" s="1"/>
  <c r="U583" i="5"/>
  <c r="U575" i="5" s="1"/>
  <c r="Q585" i="5"/>
  <c r="X585" i="5" s="1"/>
  <c r="U564" i="5" l="1"/>
  <c r="U562" i="5" s="1"/>
  <c r="Q584" i="5"/>
  <c r="X584" i="5" s="1"/>
  <c r="Q583" i="5"/>
  <c r="X583" i="5" l="1"/>
  <c r="Q575" i="5"/>
  <c r="Q564" i="5" s="1"/>
  <c r="X351" i="5"/>
  <c r="O351" i="5"/>
  <c r="I351" i="5"/>
  <c r="H351" i="5"/>
  <c r="Q290" i="5"/>
  <c r="X290" i="5" s="1"/>
  <c r="Q291" i="5"/>
  <c r="X291" i="5" s="1"/>
  <c r="N351" i="5" l="1"/>
  <c r="Q89" i="5" l="1"/>
  <c r="X89" i="5" s="1"/>
  <c r="X346" i="5" l="1"/>
  <c r="O346" i="5"/>
  <c r="I346" i="5"/>
  <c r="H346" i="5"/>
  <c r="N346" i="5" l="1"/>
  <c r="X409" i="5"/>
  <c r="S407" i="5"/>
  <c r="T407" i="5"/>
  <c r="S265" i="5" l="1"/>
  <c r="T265" i="5"/>
  <c r="T254" i="5" s="1"/>
  <c r="T253" i="5" s="1"/>
  <c r="S254" i="5" l="1"/>
  <c r="S253" i="5" s="1"/>
  <c r="Q265" i="5"/>
  <c r="X265" i="5" s="1"/>
  <c r="I597" i="5"/>
  <c r="N597" i="5" s="1"/>
  <c r="I596" i="5"/>
  <c r="N596" i="5" s="1"/>
  <c r="Q595" i="5"/>
  <c r="I594" i="5"/>
  <c r="Q592" i="5"/>
  <c r="Q591" i="5" s="1"/>
  <c r="O593" i="5"/>
  <c r="O592" i="5" s="1"/>
  <c r="O591" i="5" s="1"/>
  <c r="O590" i="5" s="1"/>
  <c r="O589" i="5" s="1"/>
  <c r="M593" i="5"/>
  <c r="M592" i="5" s="1"/>
  <c r="M591" i="5" s="1"/>
  <c r="M590" i="5" s="1"/>
  <c r="M589" i="5" s="1"/>
  <c r="L593" i="5"/>
  <c r="L592" i="5" s="1"/>
  <c r="L591" i="5" s="1"/>
  <c r="L590" i="5" s="1"/>
  <c r="L589" i="5" s="1"/>
  <c r="K593" i="5"/>
  <c r="K592" i="5" s="1"/>
  <c r="K591" i="5" s="1"/>
  <c r="K590" i="5" s="1"/>
  <c r="K589" i="5" s="1"/>
  <c r="J593" i="5"/>
  <c r="J592" i="5" s="1"/>
  <c r="J591" i="5" s="1"/>
  <c r="J590" i="5" s="1"/>
  <c r="J589" i="5" s="1"/>
  <c r="H593" i="5"/>
  <c r="H592" i="5" s="1"/>
  <c r="H591" i="5" s="1"/>
  <c r="H590" i="5" s="1"/>
  <c r="H589" i="5" s="1"/>
  <c r="T592" i="5"/>
  <c r="T591" i="5" s="1"/>
  <c r="T589" i="5" s="1"/>
  <c r="S592" i="5"/>
  <c r="S591" i="5" s="1"/>
  <c r="S589" i="5" s="1"/>
  <c r="O584" i="5"/>
  <c r="O583" i="5" s="1"/>
  <c r="H584" i="5"/>
  <c r="H583" i="5" s="1"/>
  <c r="O581" i="5"/>
  <c r="H581" i="5"/>
  <c r="O579" i="5"/>
  <c r="O578" i="5"/>
  <c r="H578" i="5"/>
  <c r="O577" i="5"/>
  <c r="O576" i="5"/>
  <c r="O571" i="5"/>
  <c r="I571" i="5"/>
  <c r="H571" i="5"/>
  <c r="O570" i="5"/>
  <c r="I570" i="5"/>
  <c r="N570" i="5" s="1"/>
  <c r="O568" i="5"/>
  <c r="I568" i="5"/>
  <c r="H568" i="5"/>
  <c r="O567" i="5"/>
  <c r="I567" i="5"/>
  <c r="N567" i="5" s="1"/>
  <c r="O566" i="5"/>
  <c r="I566" i="5"/>
  <c r="N566" i="5" s="1"/>
  <c r="T562" i="5"/>
  <c r="I565" i="5"/>
  <c r="M564" i="5"/>
  <c r="M562" i="5" s="1"/>
  <c r="L564" i="5"/>
  <c r="L562" i="5" s="1"/>
  <c r="K564" i="5"/>
  <c r="K562" i="5" s="1"/>
  <c r="J564" i="5"/>
  <c r="J562" i="5" s="1"/>
  <c r="I557" i="5"/>
  <c r="N557" i="5" s="1"/>
  <c r="I556" i="5"/>
  <c r="N556" i="5" s="1"/>
  <c r="I555" i="5"/>
  <c r="N555" i="5" s="1"/>
  <c r="I554" i="5"/>
  <c r="N554" i="5" s="1"/>
  <c r="I553" i="5"/>
  <c r="N553" i="5" s="1"/>
  <c r="I552" i="5"/>
  <c r="N552" i="5" s="1"/>
  <c r="O549" i="5"/>
  <c r="I549" i="5"/>
  <c r="N549" i="5" s="1"/>
  <c r="O548" i="5"/>
  <c r="I548" i="5"/>
  <c r="M547" i="5"/>
  <c r="M544" i="5" s="1"/>
  <c r="M543" i="5" s="1"/>
  <c r="M542" i="5" s="1"/>
  <c r="L547" i="5"/>
  <c r="L544" i="5" s="1"/>
  <c r="L543" i="5" s="1"/>
  <c r="L542" i="5" s="1"/>
  <c r="K547" i="5"/>
  <c r="K544" i="5" s="1"/>
  <c r="K543" i="5" s="1"/>
  <c r="K542" i="5" s="1"/>
  <c r="J547" i="5"/>
  <c r="J544" i="5" s="1"/>
  <c r="J543" i="5" s="1"/>
  <c r="J542" i="5" s="1"/>
  <c r="H547" i="5"/>
  <c r="H544" i="5" s="1"/>
  <c r="H543" i="5" s="1"/>
  <c r="H542" i="5" s="1"/>
  <c r="O538" i="5"/>
  <c r="O534" i="5" s="1"/>
  <c r="I538" i="5"/>
  <c r="N538" i="5" s="1"/>
  <c r="I537" i="5"/>
  <c r="N537" i="5" s="1"/>
  <c r="I535" i="5"/>
  <c r="N535" i="5" s="1"/>
  <c r="M534" i="5"/>
  <c r="L534" i="5"/>
  <c r="K534" i="5"/>
  <c r="J534" i="5"/>
  <c r="H534" i="5"/>
  <c r="O531" i="5"/>
  <c r="I531" i="5"/>
  <c r="N531" i="5" s="1"/>
  <c r="X530" i="5"/>
  <c r="I530" i="5"/>
  <c r="N530" i="5" s="1"/>
  <c r="O529" i="5"/>
  <c r="I529" i="5"/>
  <c r="N529" i="5" s="1"/>
  <c r="T528" i="5"/>
  <c r="S528" i="5"/>
  <c r="M528" i="5"/>
  <c r="L528" i="5"/>
  <c r="K528" i="5"/>
  <c r="J528" i="5"/>
  <c r="H528" i="5"/>
  <c r="O527" i="5"/>
  <c r="J527" i="5"/>
  <c r="O526" i="5"/>
  <c r="I526" i="5"/>
  <c r="N526" i="5" s="1"/>
  <c r="T525" i="5"/>
  <c r="S525" i="5"/>
  <c r="M525" i="5"/>
  <c r="L525" i="5"/>
  <c r="K525" i="5"/>
  <c r="H525" i="5"/>
  <c r="I524" i="5"/>
  <c r="N524" i="5" s="1"/>
  <c r="I523" i="5"/>
  <c r="T522" i="5"/>
  <c r="S522" i="5"/>
  <c r="O522" i="5"/>
  <c r="M522" i="5"/>
  <c r="L522" i="5"/>
  <c r="K522" i="5"/>
  <c r="J522" i="5"/>
  <c r="H522" i="5"/>
  <c r="O521" i="5"/>
  <c r="O520" i="5" s="1"/>
  <c r="I521" i="5"/>
  <c r="I520" i="5" s="1"/>
  <c r="T520" i="5"/>
  <c r="S520" i="5"/>
  <c r="M520" i="5"/>
  <c r="L520" i="5"/>
  <c r="K520" i="5"/>
  <c r="J520" i="5"/>
  <c r="H520" i="5"/>
  <c r="X515" i="5"/>
  <c r="O515" i="5"/>
  <c r="I515" i="5"/>
  <c r="N515" i="5" s="1"/>
  <c r="O514" i="5"/>
  <c r="I514" i="5"/>
  <c r="N514" i="5" s="1"/>
  <c r="X513" i="5"/>
  <c r="I512" i="5"/>
  <c r="N512" i="5" s="1"/>
  <c r="I511" i="5"/>
  <c r="N511" i="5" s="1"/>
  <c r="I510" i="5"/>
  <c r="N510" i="5" s="1"/>
  <c r="X509" i="5"/>
  <c r="I509" i="5"/>
  <c r="N509" i="5" s="1"/>
  <c r="X508" i="5"/>
  <c r="I508" i="5"/>
  <c r="N508" i="5" s="1"/>
  <c r="I507" i="5"/>
  <c r="N507" i="5" s="1"/>
  <c r="O506" i="5"/>
  <c r="I506" i="5"/>
  <c r="N506" i="5" s="1"/>
  <c r="M504" i="5"/>
  <c r="L504" i="5"/>
  <c r="K504" i="5"/>
  <c r="J504" i="5"/>
  <c r="H504" i="5"/>
  <c r="X502" i="5"/>
  <c r="I502" i="5"/>
  <c r="N502" i="5" s="1"/>
  <c r="X497" i="5"/>
  <c r="O497" i="5"/>
  <c r="O496" i="5" s="1"/>
  <c r="I497" i="5"/>
  <c r="N497" i="5" s="1"/>
  <c r="T495" i="5"/>
  <c r="S495" i="5"/>
  <c r="M496" i="5"/>
  <c r="L496" i="5"/>
  <c r="K496" i="5"/>
  <c r="J496" i="5"/>
  <c r="H496" i="5"/>
  <c r="X493" i="5"/>
  <c r="X492" i="5"/>
  <c r="O492" i="5"/>
  <c r="I492" i="5"/>
  <c r="N492" i="5" s="1"/>
  <c r="X491" i="5"/>
  <c r="X490" i="5"/>
  <c r="I490" i="5"/>
  <c r="N490" i="5" s="1"/>
  <c r="X489" i="5"/>
  <c r="I489" i="5"/>
  <c r="N489" i="5" s="1"/>
  <c r="X488" i="5"/>
  <c r="I488" i="5"/>
  <c r="N488" i="5" s="1"/>
  <c r="O487" i="5"/>
  <c r="I487" i="5"/>
  <c r="H487" i="5"/>
  <c r="H486" i="5" s="1"/>
  <c r="M486" i="5"/>
  <c r="L486" i="5"/>
  <c r="K486" i="5"/>
  <c r="J486" i="5"/>
  <c r="X484" i="5"/>
  <c r="X483" i="5"/>
  <c r="O483" i="5"/>
  <c r="J483" i="5"/>
  <c r="I483" i="5" s="1"/>
  <c r="X482" i="5"/>
  <c r="J482" i="5"/>
  <c r="I482" i="5" s="1"/>
  <c r="N482" i="5" s="1"/>
  <c r="X481" i="5"/>
  <c r="I481" i="5"/>
  <c r="N481" i="5" s="1"/>
  <c r="X480" i="5"/>
  <c r="I480" i="5"/>
  <c r="N480" i="5" s="1"/>
  <c r="X479" i="5"/>
  <c r="O479" i="5"/>
  <c r="I479" i="5"/>
  <c r="N479" i="5" s="1"/>
  <c r="X478" i="5"/>
  <c r="O478" i="5"/>
  <c r="I478" i="5"/>
  <c r="N478" i="5" s="1"/>
  <c r="X477" i="5"/>
  <c r="O476" i="5"/>
  <c r="I476" i="5"/>
  <c r="N476" i="5" s="1"/>
  <c r="I475" i="5"/>
  <c r="N475" i="5" s="1"/>
  <c r="I474" i="5"/>
  <c r="N474" i="5" s="1"/>
  <c r="O473" i="5"/>
  <c r="I473" i="5"/>
  <c r="N473" i="5" s="1"/>
  <c r="M472" i="5"/>
  <c r="L472" i="5"/>
  <c r="K472" i="5"/>
  <c r="H472" i="5"/>
  <c r="X471" i="5"/>
  <c r="X470" i="5"/>
  <c r="O470" i="5"/>
  <c r="I470" i="5"/>
  <c r="H470" i="5"/>
  <c r="X468" i="5"/>
  <c r="O468" i="5"/>
  <c r="I468" i="5"/>
  <c r="H468" i="5"/>
  <c r="X467" i="5"/>
  <c r="O467" i="5"/>
  <c r="O466" i="5"/>
  <c r="I466" i="5"/>
  <c r="N466" i="5" s="1"/>
  <c r="X465" i="5"/>
  <c r="O465" i="5"/>
  <c r="I465" i="5"/>
  <c r="N465" i="5" s="1"/>
  <c r="I464" i="5"/>
  <c r="S463" i="5"/>
  <c r="M463" i="5"/>
  <c r="L463" i="5"/>
  <c r="K463" i="5"/>
  <c r="J463" i="5"/>
  <c r="I462" i="5"/>
  <c r="N462" i="5" s="1"/>
  <c r="X461" i="5"/>
  <c r="I461" i="5"/>
  <c r="N461" i="5" s="1"/>
  <c r="X460" i="5"/>
  <c r="I460" i="5"/>
  <c r="N460" i="5" s="1"/>
  <c r="X459" i="5"/>
  <c r="I459" i="5"/>
  <c r="T458" i="5"/>
  <c r="S458" i="5"/>
  <c r="O458" i="5"/>
  <c r="M458" i="5"/>
  <c r="L458" i="5"/>
  <c r="K458" i="5"/>
  <c r="J458" i="5"/>
  <c r="H458" i="5"/>
  <c r="X457" i="5"/>
  <c r="I457" i="5"/>
  <c r="N457" i="5" s="1"/>
  <c r="O456" i="5"/>
  <c r="O453" i="5" s="1"/>
  <c r="I456" i="5"/>
  <c r="H456" i="5"/>
  <c r="X455" i="5"/>
  <c r="I455" i="5"/>
  <c r="N455" i="5" s="1"/>
  <c r="X454" i="5"/>
  <c r="I454" i="5"/>
  <c r="T453" i="5"/>
  <c r="S453" i="5"/>
  <c r="M453" i="5"/>
  <c r="L453" i="5"/>
  <c r="K453" i="5"/>
  <c r="J453" i="5"/>
  <c r="Q452" i="5"/>
  <c r="X452" i="5" s="1"/>
  <c r="X451" i="5"/>
  <c r="O451" i="5"/>
  <c r="I451" i="5"/>
  <c r="N451" i="5" s="1"/>
  <c r="Q450" i="5"/>
  <c r="X450" i="5" s="1"/>
  <c r="I450" i="5"/>
  <c r="N450" i="5" s="1"/>
  <c r="O449" i="5"/>
  <c r="I449" i="5"/>
  <c r="T448" i="5"/>
  <c r="S448" i="5"/>
  <c r="M448" i="5"/>
  <c r="L448" i="5"/>
  <c r="K448" i="5"/>
  <c r="J448" i="5"/>
  <c r="H448" i="5"/>
  <c r="X447" i="5"/>
  <c r="O447" i="5"/>
  <c r="I447" i="5"/>
  <c r="N447" i="5" s="1"/>
  <c r="X446" i="5"/>
  <c r="O446" i="5"/>
  <c r="I446" i="5"/>
  <c r="N446" i="5" s="1"/>
  <c r="X439" i="5"/>
  <c r="I439" i="5"/>
  <c r="N439" i="5" s="1"/>
  <c r="X437" i="5"/>
  <c r="O436" i="5"/>
  <c r="I436" i="5"/>
  <c r="H436" i="5"/>
  <c r="H434" i="5" s="1"/>
  <c r="H426" i="5" s="1"/>
  <c r="O435" i="5"/>
  <c r="I435" i="5"/>
  <c r="N435" i="5" s="1"/>
  <c r="M434" i="5"/>
  <c r="M426" i="5" s="1"/>
  <c r="L434" i="5"/>
  <c r="L426" i="5" s="1"/>
  <c r="K434" i="5"/>
  <c r="K426" i="5" s="1"/>
  <c r="J434" i="5"/>
  <c r="J426" i="5" s="1"/>
  <c r="I427" i="5"/>
  <c r="N427" i="5" s="1"/>
  <c r="Q413" i="5"/>
  <c r="O415" i="5"/>
  <c r="O413" i="5" s="1"/>
  <c r="I415" i="5"/>
  <c r="N415" i="5" s="1"/>
  <c r="I414" i="5"/>
  <c r="M413" i="5"/>
  <c r="L413" i="5"/>
  <c r="K413" i="5"/>
  <c r="J413" i="5"/>
  <c r="H413" i="5"/>
  <c r="X412" i="5"/>
  <c r="X411" i="5" s="1"/>
  <c r="O412" i="5"/>
  <c r="O411" i="5" s="1"/>
  <c r="J412" i="5"/>
  <c r="T411" i="5"/>
  <c r="S411" i="5"/>
  <c r="M411" i="5"/>
  <c r="L411" i="5"/>
  <c r="K411" i="5"/>
  <c r="H411" i="5"/>
  <c r="Q407" i="5"/>
  <c r="O406" i="5"/>
  <c r="I406" i="5"/>
  <c r="N406" i="5" s="1"/>
  <c r="O405" i="5"/>
  <c r="I405" i="5"/>
  <c r="T404" i="5"/>
  <c r="T400" i="5" s="1"/>
  <c r="S404" i="5"/>
  <c r="S400" i="5" s="1"/>
  <c r="M404" i="5"/>
  <c r="L404" i="5"/>
  <c r="K404" i="5"/>
  <c r="J404" i="5"/>
  <c r="H404" i="5"/>
  <c r="I402" i="5"/>
  <c r="N402" i="5" s="1"/>
  <c r="N401" i="5" s="1"/>
  <c r="O401" i="5"/>
  <c r="M401" i="5"/>
  <c r="L401" i="5"/>
  <c r="K401" i="5"/>
  <c r="J401" i="5"/>
  <c r="H401" i="5"/>
  <c r="X399" i="5"/>
  <c r="I399" i="5"/>
  <c r="N399" i="5" s="1"/>
  <c r="I398" i="5"/>
  <c r="N398" i="5" s="1"/>
  <c r="X397" i="5"/>
  <c r="I397" i="5"/>
  <c r="T396" i="5"/>
  <c r="S396" i="5"/>
  <c r="O396" i="5"/>
  <c r="M396" i="5"/>
  <c r="L396" i="5"/>
  <c r="K396" i="5"/>
  <c r="J396" i="5"/>
  <c r="H396" i="5"/>
  <c r="I394" i="5"/>
  <c r="N394" i="5" s="1"/>
  <c r="O393" i="5"/>
  <c r="I393" i="5"/>
  <c r="I392" i="5"/>
  <c r="N392" i="5" s="1"/>
  <c r="O391" i="5"/>
  <c r="I391" i="5"/>
  <c r="N391" i="5" s="1"/>
  <c r="O390" i="5"/>
  <c r="I390" i="5"/>
  <c r="N390" i="5" s="1"/>
  <c r="M389" i="5"/>
  <c r="L389" i="5"/>
  <c r="K389" i="5"/>
  <c r="J389" i="5"/>
  <c r="H389" i="5"/>
  <c r="Q386" i="5"/>
  <c r="O388" i="5"/>
  <c r="O386" i="5" s="1"/>
  <c r="I388" i="5"/>
  <c r="N388" i="5" s="1"/>
  <c r="I387" i="5"/>
  <c r="N387" i="5" s="1"/>
  <c r="M386" i="5"/>
  <c r="L386" i="5"/>
  <c r="K386" i="5"/>
  <c r="J386" i="5"/>
  <c r="H386" i="5"/>
  <c r="I385" i="5"/>
  <c r="O384" i="5"/>
  <c r="O383" i="5" s="1"/>
  <c r="I384" i="5"/>
  <c r="N384" i="5" s="1"/>
  <c r="M383" i="5"/>
  <c r="L383" i="5"/>
  <c r="K383" i="5"/>
  <c r="J383" i="5"/>
  <c r="H383" i="5"/>
  <c r="O382" i="5"/>
  <c r="O381" i="5"/>
  <c r="I381" i="5"/>
  <c r="X379" i="5"/>
  <c r="I379" i="5"/>
  <c r="N379" i="5" s="1"/>
  <c r="X378" i="5"/>
  <c r="I378" i="5"/>
  <c r="X377" i="5"/>
  <c r="O377" i="5"/>
  <c r="O376" i="5" s="1"/>
  <c r="O374" i="5" s="1"/>
  <c r="I377" i="5"/>
  <c r="N377" i="5" s="1"/>
  <c r="T376" i="5"/>
  <c r="T374" i="5" s="1"/>
  <c r="S376" i="5"/>
  <c r="S374" i="5" s="1"/>
  <c r="M376" i="5"/>
  <c r="M374" i="5" s="1"/>
  <c r="L376" i="5"/>
  <c r="L374" i="5" s="1"/>
  <c r="K376" i="5"/>
  <c r="K374" i="5" s="1"/>
  <c r="J376" i="5"/>
  <c r="J374" i="5" s="1"/>
  <c r="H376" i="5"/>
  <c r="H374" i="5" s="1"/>
  <c r="X375" i="5"/>
  <c r="I375" i="5"/>
  <c r="N375" i="5" s="1"/>
  <c r="O365" i="5"/>
  <c r="I365" i="5"/>
  <c r="N365" i="5" s="1"/>
  <c r="O364" i="5"/>
  <c r="I364" i="5"/>
  <c r="N364" i="5" s="1"/>
  <c r="O363" i="5"/>
  <c r="I363" i="5"/>
  <c r="N363" i="5" s="1"/>
  <c r="X360" i="5"/>
  <c r="O360" i="5"/>
  <c r="I360" i="5"/>
  <c r="N360" i="5" s="1"/>
  <c r="X358" i="5"/>
  <c r="X357" i="5"/>
  <c r="O357" i="5"/>
  <c r="I357" i="5"/>
  <c r="N357" i="5" s="1"/>
  <c r="O355" i="5"/>
  <c r="I355" i="5"/>
  <c r="N355" i="5" s="1"/>
  <c r="X353" i="5"/>
  <c r="X352" i="5"/>
  <c r="O349" i="5"/>
  <c r="I349" i="5"/>
  <c r="H349" i="5"/>
  <c r="X348" i="5"/>
  <c r="X345" i="5"/>
  <c r="O345" i="5"/>
  <c r="I345" i="5"/>
  <c r="H345" i="5"/>
  <c r="X344" i="5"/>
  <c r="O344" i="5"/>
  <c r="I344" i="5"/>
  <c r="H344" i="5"/>
  <c r="X343" i="5"/>
  <c r="X342" i="5"/>
  <c r="I340" i="5"/>
  <c r="H340" i="5"/>
  <c r="X339" i="5"/>
  <c r="X337" i="5"/>
  <c r="I337" i="5"/>
  <c r="N337" i="5" s="1"/>
  <c r="X336" i="5"/>
  <c r="I336" i="5"/>
  <c r="N336" i="5" s="1"/>
  <c r="K333" i="5"/>
  <c r="I333" i="5" s="1"/>
  <c r="N333" i="5" s="1"/>
  <c r="I332" i="5"/>
  <c r="N332" i="5" s="1"/>
  <c r="I331" i="5"/>
  <c r="N331" i="5" s="1"/>
  <c r="I330" i="5"/>
  <c r="N330" i="5" s="1"/>
  <c r="I329" i="5"/>
  <c r="N329" i="5" s="1"/>
  <c r="I327" i="5"/>
  <c r="N327" i="5" s="1"/>
  <c r="I326" i="5"/>
  <c r="M325" i="5"/>
  <c r="L325" i="5"/>
  <c r="J325" i="5"/>
  <c r="Q314" i="5"/>
  <c r="X314" i="5" s="1"/>
  <c r="I314" i="5"/>
  <c r="N314" i="5" s="1"/>
  <c r="Q313" i="5"/>
  <c r="X313" i="5" s="1"/>
  <c r="I313" i="5"/>
  <c r="N313" i="5" s="1"/>
  <c r="I312" i="5"/>
  <c r="N312" i="5" s="1"/>
  <c r="I311" i="5"/>
  <c r="N311" i="5" s="1"/>
  <c r="Q310" i="5"/>
  <c r="X310" i="5" s="1"/>
  <c r="I310" i="5"/>
  <c r="T309" i="5"/>
  <c r="S309" i="5"/>
  <c r="O309" i="5"/>
  <c r="M309" i="5"/>
  <c r="L309" i="5"/>
  <c r="K309" i="5"/>
  <c r="J309" i="5"/>
  <c r="H309" i="5"/>
  <c r="Q308" i="5"/>
  <c r="Q307" i="5"/>
  <c r="X307" i="5" s="1"/>
  <c r="I304" i="5"/>
  <c r="N304" i="5" s="1"/>
  <c r="I301" i="5"/>
  <c r="N301" i="5" s="1"/>
  <c r="N300" i="5" s="1"/>
  <c r="O300" i="5"/>
  <c r="M300" i="5"/>
  <c r="L300" i="5"/>
  <c r="K300" i="5"/>
  <c r="J300" i="5"/>
  <c r="H300" i="5"/>
  <c r="Q299" i="5"/>
  <c r="X299" i="5" s="1"/>
  <c r="I299" i="5"/>
  <c r="U298" i="5"/>
  <c r="T298" i="5"/>
  <c r="S298" i="5"/>
  <c r="O298" i="5"/>
  <c r="M298" i="5"/>
  <c r="L298" i="5"/>
  <c r="K298" i="5"/>
  <c r="J298" i="5"/>
  <c r="H298" i="5"/>
  <c r="X295" i="5"/>
  <c r="O295" i="5"/>
  <c r="O286" i="5" s="1"/>
  <c r="I295" i="5"/>
  <c r="H295" i="5"/>
  <c r="Q294" i="5"/>
  <c r="X294" i="5" s="1"/>
  <c r="I293" i="5"/>
  <c r="N293" i="5" s="1"/>
  <c r="Q292" i="5"/>
  <c r="I292" i="5"/>
  <c r="N292" i="5" s="1"/>
  <c r="I291" i="5"/>
  <c r="N291" i="5" s="1"/>
  <c r="I290" i="5"/>
  <c r="N290" i="5" s="1"/>
  <c r="Q289" i="5"/>
  <c r="X289" i="5" s="1"/>
  <c r="I289" i="5"/>
  <c r="N289" i="5" s="1"/>
  <c r="I288" i="5"/>
  <c r="N288" i="5" s="1"/>
  <c r="I287" i="5"/>
  <c r="N287" i="5" s="1"/>
  <c r="M286" i="5"/>
  <c r="L286" i="5"/>
  <c r="K286" i="5"/>
  <c r="J286" i="5"/>
  <c r="I273" i="5"/>
  <c r="N273" i="5" s="1"/>
  <c r="I272" i="5"/>
  <c r="N272" i="5" s="1"/>
  <c r="O271" i="5"/>
  <c r="M271" i="5"/>
  <c r="L271" i="5"/>
  <c r="K271" i="5"/>
  <c r="J271" i="5"/>
  <c r="H271" i="5"/>
  <c r="X270" i="5"/>
  <c r="O270" i="5"/>
  <c r="O269" i="5" s="1"/>
  <c r="I270" i="5"/>
  <c r="S269" i="5"/>
  <c r="M269" i="5"/>
  <c r="L269" i="5"/>
  <c r="K269" i="5"/>
  <c r="J269" i="5"/>
  <c r="H269" i="5"/>
  <c r="H262" i="5" s="1"/>
  <c r="H265" i="5"/>
  <c r="Q262" i="5"/>
  <c r="Q261" i="5"/>
  <c r="X261" i="5" s="1"/>
  <c r="Q260" i="5"/>
  <c r="X260" i="5" s="1"/>
  <c r="Q259" i="5"/>
  <c r="X259" i="5" s="1"/>
  <c r="Q258" i="5"/>
  <c r="H258" i="5"/>
  <c r="Q257" i="5"/>
  <c r="O257" i="5"/>
  <c r="I257" i="5"/>
  <c r="I254" i="5" s="1"/>
  <c r="H257" i="5"/>
  <c r="Q256" i="5"/>
  <c r="O255" i="5"/>
  <c r="O254" i="5" s="1"/>
  <c r="H255" i="5"/>
  <c r="M254" i="5"/>
  <c r="L254" i="5"/>
  <c r="K254" i="5"/>
  <c r="J254" i="5"/>
  <c r="I252" i="5"/>
  <c r="N252" i="5" s="1"/>
  <c r="N251" i="5" s="1"/>
  <c r="O251" i="5"/>
  <c r="M251" i="5"/>
  <c r="L251" i="5"/>
  <c r="K251" i="5"/>
  <c r="J251" i="5"/>
  <c r="H251" i="5"/>
  <c r="O250" i="5"/>
  <c r="O249" i="5" s="1"/>
  <c r="O248" i="5" s="1"/>
  <c r="O247" i="5" s="1"/>
  <c r="I250" i="5"/>
  <c r="I249" i="5" s="1"/>
  <c r="I248" i="5" s="1"/>
  <c r="I247" i="5" s="1"/>
  <c r="T248" i="5"/>
  <c r="T247" i="5" s="1"/>
  <c r="T246" i="5" s="1"/>
  <c r="S248" i="5"/>
  <c r="S247" i="5" s="1"/>
  <c r="S246" i="5" s="1"/>
  <c r="M249" i="5"/>
  <c r="M248" i="5" s="1"/>
  <c r="M247" i="5" s="1"/>
  <c r="L249" i="5"/>
  <c r="L248" i="5" s="1"/>
  <c r="L247" i="5" s="1"/>
  <c r="K249" i="5"/>
  <c r="K248" i="5" s="1"/>
  <c r="K247" i="5" s="1"/>
  <c r="J249" i="5"/>
  <c r="J248" i="5" s="1"/>
  <c r="J247" i="5" s="1"/>
  <c r="H249" i="5"/>
  <c r="H248" i="5" s="1"/>
  <c r="H247" i="5" s="1"/>
  <c r="Q244" i="5"/>
  <c r="O241" i="5"/>
  <c r="O237" i="5" s="1"/>
  <c r="I241" i="5"/>
  <c r="I237" i="5" s="1"/>
  <c r="M237" i="5"/>
  <c r="M228" i="5" s="1"/>
  <c r="M225" i="5" s="1"/>
  <c r="L237" i="5"/>
  <c r="L228" i="5" s="1"/>
  <c r="L225" i="5" s="1"/>
  <c r="K237" i="5"/>
  <c r="K228" i="5" s="1"/>
  <c r="K225" i="5" s="1"/>
  <c r="J237" i="5"/>
  <c r="J228" i="5" s="1"/>
  <c r="J225" i="5" s="1"/>
  <c r="H237" i="5"/>
  <c r="X231" i="5"/>
  <c r="O231" i="5"/>
  <c r="N231" i="5"/>
  <c r="M231" i="5"/>
  <c r="L231" i="5"/>
  <c r="K231" i="5"/>
  <c r="J231" i="5"/>
  <c r="I231" i="5"/>
  <c r="H231" i="5"/>
  <c r="O230" i="5"/>
  <c r="O229" i="5" s="1"/>
  <c r="I230" i="5"/>
  <c r="N230" i="5" s="1"/>
  <c r="H229" i="5"/>
  <c r="Q226" i="5"/>
  <c r="T226" i="5"/>
  <c r="S226" i="5"/>
  <c r="O226" i="5"/>
  <c r="H226" i="5"/>
  <c r="X224" i="5"/>
  <c r="I221" i="5"/>
  <c r="O220" i="5"/>
  <c r="M220" i="5"/>
  <c r="L220" i="5"/>
  <c r="K220" i="5"/>
  <c r="J220" i="5"/>
  <c r="H220" i="5"/>
  <c r="I219" i="5"/>
  <c r="X218" i="5"/>
  <c r="O218" i="5"/>
  <c r="M218" i="5"/>
  <c r="L218" i="5"/>
  <c r="K218" i="5"/>
  <c r="J218" i="5"/>
  <c r="H218" i="5"/>
  <c r="I215" i="5"/>
  <c r="N215" i="5" s="1"/>
  <c r="N214" i="5" s="1"/>
  <c r="O214" i="5"/>
  <c r="M214" i="5"/>
  <c r="L214" i="5"/>
  <c r="K214" i="5"/>
  <c r="J214" i="5"/>
  <c r="H214" i="5"/>
  <c r="I213" i="5"/>
  <c r="I212" i="5"/>
  <c r="N212" i="5" s="1"/>
  <c r="X211" i="5"/>
  <c r="O211" i="5"/>
  <c r="M211" i="5"/>
  <c r="L211" i="5"/>
  <c r="K211" i="5"/>
  <c r="J211" i="5"/>
  <c r="H211" i="5"/>
  <c r="I210" i="5"/>
  <c r="N210" i="5" s="1"/>
  <c r="N208" i="5"/>
  <c r="I207" i="5"/>
  <c r="N207" i="5" s="1"/>
  <c r="N204" i="5" s="1"/>
  <c r="Q206" i="5"/>
  <c r="I206" i="5"/>
  <c r="O204" i="5"/>
  <c r="O202" i="5" s="1"/>
  <c r="M204" i="5"/>
  <c r="M202" i="5" s="1"/>
  <c r="L204" i="5"/>
  <c r="L202" i="5" s="1"/>
  <c r="K204" i="5"/>
  <c r="K202" i="5" s="1"/>
  <c r="J204" i="5"/>
  <c r="J202" i="5" s="1"/>
  <c r="H204" i="5"/>
  <c r="I203" i="5"/>
  <c r="H203" i="5"/>
  <c r="T202" i="5"/>
  <c r="S202" i="5"/>
  <c r="X192" i="5"/>
  <c r="Q191" i="5"/>
  <c r="X191" i="5" s="1"/>
  <c r="Q190" i="5"/>
  <c r="X190" i="5" s="1"/>
  <c r="X189" i="5"/>
  <c r="O189" i="5"/>
  <c r="H189" i="5"/>
  <c r="Q179" i="5"/>
  <c r="Q177" i="5"/>
  <c r="O177" i="5"/>
  <c r="O176" i="5" s="1"/>
  <c r="O171" i="5" s="1"/>
  <c r="H176" i="5"/>
  <c r="H171" i="5" s="1"/>
  <c r="O170" i="5"/>
  <c r="O169" i="5"/>
  <c r="H168" i="5"/>
  <c r="O165" i="5"/>
  <c r="H165" i="5"/>
  <c r="Q159" i="5"/>
  <c r="O161" i="5"/>
  <c r="O159" i="5" s="1"/>
  <c r="I161" i="5"/>
  <c r="N161" i="5" s="1"/>
  <c r="I160" i="5"/>
  <c r="M159" i="5"/>
  <c r="L159" i="5"/>
  <c r="K159" i="5"/>
  <c r="J159" i="5"/>
  <c r="H159" i="5"/>
  <c r="I158" i="5"/>
  <c r="N158" i="5" s="1"/>
  <c r="N157" i="5" s="1"/>
  <c r="O157" i="5"/>
  <c r="M157" i="5"/>
  <c r="L157" i="5"/>
  <c r="K157" i="5"/>
  <c r="J157" i="5"/>
  <c r="H157" i="5"/>
  <c r="I156" i="5"/>
  <c r="N156" i="5" s="1"/>
  <c r="I155" i="5"/>
  <c r="N155" i="5" s="1"/>
  <c r="X154" i="5"/>
  <c r="I154" i="5"/>
  <c r="N154" i="5" s="1"/>
  <c r="N153" i="5" s="1"/>
  <c r="T153" i="5"/>
  <c r="S153" i="5"/>
  <c r="O153" i="5"/>
  <c r="M153" i="5"/>
  <c r="L153" i="5"/>
  <c r="K153" i="5"/>
  <c r="J153" i="5"/>
  <c r="H153" i="5"/>
  <c r="O151" i="5"/>
  <c r="I151" i="5"/>
  <c r="N151" i="5" s="1"/>
  <c r="X150" i="5"/>
  <c r="O150" i="5"/>
  <c r="I150" i="5"/>
  <c r="N150" i="5" s="1"/>
  <c r="Q149" i="5"/>
  <c r="O148" i="5"/>
  <c r="I148" i="5"/>
  <c r="M147" i="5"/>
  <c r="L147" i="5"/>
  <c r="K147" i="5"/>
  <c r="J147" i="5"/>
  <c r="H147" i="5"/>
  <c r="I146" i="5"/>
  <c r="N146" i="5" s="1"/>
  <c r="I145" i="5"/>
  <c r="N145" i="5" s="1"/>
  <c r="O144" i="5"/>
  <c r="I144" i="5"/>
  <c r="N144" i="5" s="1"/>
  <c r="Q143" i="5"/>
  <c r="O143" i="5"/>
  <c r="I143" i="5"/>
  <c r="N143" i="5" s="1"/>
  <c r="O142" i="5"/>
  <c r="I142" i="5"/>
  <c r="N142" i="5" s="1"/>
  <c r="I140" i="5"/>
  <c r="N140" i="5" s="1"/>
  <c r="I139" i="5"/>
  <c r="T138" i="5"/>
  <c r="S138" i="5"/>
  <c r="M138" i="5"/>
  <c r="L138" i="5"/>
  <c r="K138" i="5"/>
  <c r="J138" i="5"/>
  <c r="H138" i="5"/>
  <c r="I136" i="5"/>
  <c r="N136" i="5" s="1"/>
  <c r="I135" i="5"/>
  <c r="N135" i="5" s="1"/>
  <c r="I134" i="5"/>
  <c r="N134" i="5" s="1"/>
  <c r="I133" i="5"/>
  <c r="N133" i="5" s="1"/>
  <c r="O132" i="5"/>
  <c r="O130" i="5" s="1"/>
  <c r="M132" i="5"/>
  <c r="M130" i="5" s="1"/>
  <c r="L132" i="5"/>
  <c r="L130" i="5" s="1"/>
  <c r="K132" i="5"/>
  <c r="K130" i="5" s="1"/>
  <c r="J132" i="5"/>
  <c r="J130" i="5" s="1"/>
  <c r="H132" i="5"/>
  <c r="H130" i="5" s="1"/>
  <c r="X131" i="5"/>
  <c r="T130" i="5"/>
  <c r="S130" i="5"/>
  <c r="O119" i="5"/>
  <c r="I119" i="5"/>
  <c r="H119" i="5"/>
  <c r="I117" i="5"/>
  <c r="N117" i="5" s="1"/>
  <c r="I116" i="5"/>
  <c r="N116" i="5" s="1"/>
  <c r="I115" i="5"/>
  <c r="N115" i="5" s="1"/>
  <c r="U114" i="5"/>
  <c r="T114" i="5"/>
  <c r="S114" i="5"/>
  <c r="O114" i="5"/>
  <c r="M114" i="5"/>
  <c r="L114" i="5"/>
  <c r="K114" i="5"/>
  <c r="J114" i="5"/>
  <c r="H114" i="5"/>
  <c r="I113" i="5"/>
  <c r="N113" i="5" s="1"/>
  <c r="N112" i="5" s="1"/>
  <c r="U112" i="5"/>
  <c r="T112" i="5"/>
  <c r="O112" i="5"/>
  <c r="M112" i="5"/>
  <c r="L112" i="5"/>
  <c r="K112" i="5"/>
  <c r="J112" i="5"/>
  <c r="H112" i="5"/>
  <c r="I111" i="5"/>
  <c r="I110" i="5" s="1"/>
  <c r="U110" i="5"/>
  <c r="T110" i="5"/>
  <c r="S110" i="5"/>
  <c r="O110" i="5"/>
  <c r="M110" i="5"/>
  <c r="L110" i="5"/>
  <c r="K110" i="5"/>
  <c r="J110" i="5"/>
  <c r="H110" i="5"/>
  <c r="I109" i="5"/>
  <c r="N109" i="5" s="1"/>
  <c r="O106" i="5"/>
  <c r="I106" i="5"/>
  <c r="N106" i="5" s="1"/>
  <c r="O105" i="5"/>
  <c r="I105" i="5"/>
  <c r="N105" i="5" s="1"/>
  <c r="I104" i="5"/>
  <c r="N104" i="5" s="1"/>
  <c r="M103" i="5"/>
  <c r="L103" i="5"/>
  <c r="K103" i="5"/>
  <c r="J103" i="5"/>
  <c r="H103" i="5"/>
  <c r="Q102" i="5"/>
  <c r="Q100" i="5" s="1"/>
  <c r="Q99" i="5" s="1"/>
  <c r="O102" i="5"/>
  <c r="I102" i="5"/>
  <c r="N102" i="5" s="1"/>
  <c r="O101" i="5"/>
  <c r="I101" i="5"/>
  <c r="M100" i="5"/>
  <c r="L100" i="5"/>
  <c r="K100" i="5"/>
  <c r="J100" i="5"/>
  <c r="H100" i="5"/>
  <c r="I97" i="5"/>
  <c r="N97" i="5" s="1"/>
  <c r="I96" i="5"/>
  <c r="N96" i="5" s="1"/>
  <c r="I95" i="5"/>
  <c r="N95" i="5" s="1"/>
  <c r="O94" i="5"/>
  <c r="M94" i="5"/>
  <c r="L94" i="5"/>
  <c r="K94" i="5"/>
  <c r="J94" i="5"/>
  <c r="H94" i="5"/>
  <c r="I93" i="5"/>
  <c r="N93" i="5" s="1"/>
  <c r="N92" i="5" s="1"/>
  <c r="O92" i="5"/>
  <c r="M92" i="5"/>
  <c r="L92" i="5"/>
  <c r="K92" i="5"/>
  <c r="J92" i="5"/>
  <c r="H92" i="5"/>
  <c r="O91" i="5"/>
  <c r="I91" i="5"/>
  <c r="N91" i="5" s="1"/>
  <c r="Q90" i="5"/>
  <c r="O90" i="5"/>
  <c r="X88" i="5"/>
  <c r="O88" i="5"/>
  <c r="I88" i="5"/>
  <c r="N88" i="5" s="1"/>
  <c r="X87" i="5"/>
  <c r="O87" i="5"/>
  <c r="I87" i="5"/>
  <c r="N87" i="5" s="1"/>
  <c r="O86" i="5"/>
  <c r="I86" i="5"/>
  <c r="H86" i="5"/>
  <c r="H81" i="5" s="1"/>
  <c r="I85" i="5"/>
  <c r="N85" i="5" s="1"/>
  <c r="I84" i="5"/>
  <c r="N84" i="5" s="1"/>
  <c r="I83" i="5"/>
  <c r="N83" i="5" s="1"/>
  <c r="O82" i="5"/>
  <c r="I82" i="5"/>
  <c r="N82" i="5" s="1"/>
  <c r="M81" i="5"/>
  <c r="L81" i="5"/>
  <c r="K81" i="5"/>
  <c r="J81" i="5"/>
  <c r="O80" i="5"/>
  <c r="O76" i="5" s="1"/>
  <c r="I80" i="5"/>
  <c r="N80" i="5" s="1"/>
  <c r="I79" i="5"/>
  <c r="N79" i="5" s="1"/>
  <c r="I78" i="5"/>
  <c r="N78" i="5" s="1"/>
  <c r="I77" i="5"/>
  <c r="N77" i="5" s="1"/>
  <c r="M76" i="5"/>
  <c r="L76" i="5"/>
  <c r="K76" i="5"/>
  <c r="J76" i="5"/>
  <c r="H76" i="5"/>
  <c r="X75" i="5"/>
  <c r="I75" i="5"/>
  <c r="N75" i="5" s="1"/>
  <c r="X74" i="5"/>
  <c r="O74" i="5"/>
  <c r="O71" i="5" s="1"/>
  <c r="I74" i="5"/>
  <c r="H74" i="5"/>
  <c r="H71" i="5" s="1"/>
  <c r="X73" i="5"/>
  <c r="J73" i="5"/>
  <c r="I73" i="5" s="1"/>
  <c r="N73" i="5" s="1"/>
  <c r="M72" i="5"/>
  <c r="M71" i="5" s="1"/>
  <c r="J72" i="5"/>
  <c r="L71" i="5"/>
  <c r="K71" i="5"/>
  <c r="O70" i="5"/>
  <c r="I70" i="5"/>
  <c r="H70" i="5"/>
  <c r="H68" i="5" s="1"/>
  <c r="O69" i="5"/>
  <c r="I69" i="5"/>
  <c r="N69" i="5" s="1"/>
  <c r="M68" i="5"/>
  <c r="L68" i="5"/>
  <c r="K68" i="5"/>
  <c r="J68" i="5"/>
  <c r="O67" i="5"/>
  <c r="I67" i="5"/>
  <c r="N67" i="5" s="1"/>
  <c r="X66" i="5"/>
  <c r="O66" i="5"/>
  <c r="I66" i="5"/>
  <c r="N66" i="5" s="1"/>
  <c r="I63" i="5"/>
  <c r="N63" i="5" s="1"/>
  <c r="J62" i="5"/>
  <c r="J59" i="5" s="1"/>
  <c r="J57" i="5" s="1"/>
  <c r="I60" i="5"/>
  <c r="N60" i="5" s="1"/>
  <c r="O59" i="5"/>
  <c r="M59" i="5"/>
  <c r="M57" i="5" s="1"/>
  <c r="L59" i="5"/>
  <c r="L57" i="5" s="1"/>
  <c r="K59" i="5"/>
  <c r="K57" i="5" s="1"/>
  <c r="H59" i="5"/>
  <c r="O58" i="5"/>
  <c r="I58" i="5"/>
  <c r="H58" i="5"/>
  <c r="O52" i="5"/>
  <c r="I52" i="5"/>
  <c r="N52" i="5" s="1"/>
  <c r="O51" i="5"/>
  <c r="I51" i="5"/>
  <c r="N51" i="5" s="1"/>
  <c r="O50" i="5"/>
  <c r="I50" i="5"/>
  <c r="M49" i="5"/>
  <c r="L49" i="5"/>
  <c r="K49" i="5"/>
  <c r="J49" i="5"/>
  <c r="H49" i="5"/>
  <c r="I48" i="5"/>
  <c r="N48" i="5" s="1"/>
  <c r="N47" i="5" s="1"/>
  <c r="O47" i="5"/>
  <c r="M47" i="5"/>
  <c r="L47" i="5"/>
  <c r="K47" i="5"/>
  <c r="J47" i="5"/>
  <c r="H47" i="5"/>
  <c r="I44" i="5"/>
  <c r="N44" i="5" s="1"/>
  <c r="I43" i="5"/>
  <c r="N43" i="5" s="1"/>
  <c r="X42" i="5"/>
  <c r="O42" i="5"/>
  <c r="M42" i="5"/>
  <c r="L42" i="5"/>
  <c r="K42" i="5"/>
  <c r="J42" i="5"/>
  <c r="H42" i="5"/>
  <c r="I41" i="5"/>
  <c r="N41" i="5" s="1"/>
  <c r="I40" i="5"/>
  <c r="I39" i="5"/>
  <c r="N39" i="5" s="1"/>
  <c r="X38" i="5"/>
  <c r="O38" i="5"/>
  <c r="M38" i="5"/>
  <c r="L38" i="5"/>
  <c r="K38" i="5"/>
  <c r="J38" i="5"/>
  <c r="H38" i="5"/>
  <c r="I37" i="5"/>
  <c r="N37" i="5" s="1"/>
  <c r="I36" i="5"/>
  <c r="N36" i="5" s="1"/>
  <c r="I35" i="5"/>
  <c r="N35" i="5" s="1"/>
  <c r="X34" i="5"/>
  <c r="O34" i="5"/>
  <c r="M34" i="5"/>
  <c r="L34" i="5"/>
  <c r="K34" i="5"/>
  <c r="J34" i="5"/>
  <c r="H34" i="5"/>
  <c r="I33" i="5"/>
  <c r="I32" i="5"/>
  <c r="N32" i="5" s="1"/>
  <c r="O31" i="5"/>
  <c r="M31" i="5"/>
  <c r="L31" i="5"/>
  <c r="K31" i="5"/>
  <c r="J31" i="5"/>
  <c r="H31" i="5"/>
  <c r="Q30" i="5"/>
  <c r="X30" i="5" s="1"/>
  <c r="I30" i="5"/>
  <c r="N30" i="5" s="1"/>
  <c r="Q29" i="5"/>
  <c r="O29" i="5"/>
  <c r="I29" i="5"/>
  <c r="N29" i="5" s="1"/>
  <c r="I27" i="5"/>
  <c r="N27" i="5" s="1"/>
  <c r="I26" i="5"/>
  <c r="I25" i="5"/>
  <c r="N25" i="5" s="1"/>
  <c r="Q24" i="5"/>
  <c r="X24" i="5" s="1"/>
  <c r="O24" i="5"/>
  <c r="M24" i="5"/>
  <c r="L24" i="5"/>
  <c r="K24" i="5"/>
  <c r="J24" i="5"/>
  <c r="H24" i="5"/>
  <c r="Q23" i="5"/>
  <c r="X23" i="5" s="1"/>
  <c r="O23" i="5"/>
  <c r="I23" i="5"/>
  <c r="H23" i="5"/>
  <c r="U22" i="5"/>
  <c r="U21" i="5" s="1"/>
  <c r="U20" i="5" s="1"/>
  <c r="T22" i="5"/>
  <c r="T21" i="5" s="1"/>
  <c r="T20" i="5" s="1"/>
  <c r="S22" i="5"/>
  <c r="M22" i="5"/>
  <c r="L22" i="5"/>
  <c r="K22" i="5"/>
  <c r="J22" i="5"/>
  <c r="X18" i="5"/>
  <c r="O18" i="5"/>
  <c r="I18" i="5"/>
  <c r="H18" i="5"/>
  <c r="O17" i="5"/>
  <c r="I17" i="5"/>
  <c r="H17" i="5"/>
  <c r="M16" i="5"/>
  <c r="M15" i="5" s="1"/>
  <c r="L16" i="5"/>
  <c r="L15" i="5" s="1"/>
  <c r="K16" i="5"/>
  <c r="K15" i="5" s="1"/>
  <c r="J16" i="5"/>
  <c r="J15" i="5" s="1"/>
  <c r="T285" i="5" l="1"/>
  <c r="T242" i="5"/>
  <c r="X292" i="5"/>
  <c r="X396" i="5"/>
  <c r="Q176" i="5"/>
  <c r="Q164" i="5" s="1"/>
  <c r="X179" i="5"/>
  <c r="X176" i="5" s="1"/>
  <c r="Q112" i="5"/>
  <c r="X112" i="5" s="1"/>
  <c r="Q114" i="5"/>
  <c r="X114" i="5" s="1"/>
  <c r="Q110" i="5"/>
  <c r="X110" i="5" s="1"/>
  <c r="S129" i="5"/>
  <c r="S128" i="5" s="1"/>
  <c r="X90" i="5"/>
  <c r="Q65" i="5"/>
  <c r="Q56" i="5" s="1"/>
  <c r="Q55" i="5" s="1"/>
  <c r="Q54" i="5" s="1"/>
  <c r="M400" i="5"/>
  <c r="S285" i="5"/>
  <c r="S284" i="5" s="1"/>
  <c r="T284" i="5"/>
  <c r="I16" i="5"/>
  <c r="I15" i="5" s="1"/>
  <c r="L46" i="5"/>
  <c r="T107" i="5"/>
  <c r="U107" i="5"/>
  <c r="U14" i="5" s="1"/>
  <c r="T129" i="5"/>
  <c r="T128" i="5" s="1"/>
  <c r="U285" i="5"/>
  <c r="U284" i="5" s="1"/>
  <c r="U283" i="5" s="1"/>
  <c r="K400" i="5"/>
  <c r="K46" i="5"/>
  <c r="L400" i="5"/>
  <c r="X149" i="5"/>
  <c r="Q147" i="5"/>
  <c r="S107" i="5"/>
  <c r="O16" i="5"/>
  <c r="O15" i="5" s="1"/>
  <c r="X102" i="5"/>
  <c r="Q138" i="5"/>
  <c r="H46" i="5"/>
  <c r="S201" i="5"/>
  <c r="S200" i="5" s="1"/>
  <c r="T201" i="5"/>
  <c r="T200" i="5" s="1"/>
  <c r="S519" i="5"/>
  <c r="T519" i="5"/>
  <c r="Q204" i="5"/>
  <c r="Q202" i="5" s="1"/>
  <c r="H495" i="5"/>
  <c r="Q472" i="5"/>
  <c r="X223" i="5"/>
  <c r="X207" i="5"/>
  <c r="X330" i="5"/>
  <c r="H410" i="5"/>
  <c r="X487" i="5"/>
  <c r="X486" i="5" s="1"/>
  <c r="Q486" i="5"/>
  <c r="X596" i="5"/>
  <c r="X537" i="5"/>
  <c r="X550" i="5"/>
  <c r="X570" i="5"/>
  <c r="X581" i="5"/>
  <c r="X551" i="5"/>
  <c r="X553" i="5"/>
  <c r="X567" i="5"/>
  <c r="X569" i="5"/>
  <c r="X579" i="5"/>
  <c r="X594" i="5"/>
  <c r="S242" i="5"/>
  <c r="X523" i="5"/>
  <c r="X522" i="5" s="1"/>
  <c r="X527" i="5"/>
  <c r="X529" i="5"/>
  <c r="X595" i="5"/>
  <c r="X597" i="5"/>
  <c r="X531" i="5"/>
  <c r="X549" i="5"/>
  <c r="X552" i="5"/>
  <c r="X577" i="5"/>
  <c r="X590" i="5"/>
  <c r="Q534" i="5"/>
  <c r="Q532" i="5" s="1"/>
  <c r="Q404" i="5"/>
  <c r="Q400" i="5" s="1"/>
  <c r="X363" i="5"/>
  <c r="X340" i="5"/>
  <c r="K99" i="5"/>
  <c r="X230" i="5"/>
  <c r="X228" i="5" s="1"/>
  <c r="X272" i="5"/>
  <c r="X271" i="5" s="1"/>
  <c r="X161" i="5"/>
  <c r="J99" i="5"/>
  <c r="S544" i="5"/>
  <c r="T544" i="5"/>
  <c r="Q28" i="5"/>
  <c r="X31" i="5"/>
  <c r="X576" i="5"/>
  <c r="X566" i="5"/>
  <c r="X142" i="5"/>
  <c r="X538" i="5"/>
  <c r="X256" i="5"/>
  <c r="Q254" i="5"/>
  <c r="Q253" i="5" s="1"/>
  <c r="X507" i="5"/>
  <c r="X476" i="5"/>
  <c r="X472" i="5" s="1"/>
  <c r="X391" i="5"/>
  <c r="Q389" i="5"/>
  <c r="Q380" i="5" s="1"/>
  <c r="H565" i="5"/>
  <c r="N565" i="5" s="1"/>
  <c r="X349" i="5"/>
  <c r="M563" i="5"/>
  <c r="O575" i="5"/>
  <c r="X217" i="5"/>
  <c r="X220" i="5"/>
  <c r="O547" i="5"/>
  <c r="O544" i="5" s="1"/>
  <c r="O543" i="5" s="1"/>
  <c r="O542" i="5" s="1"/>
  <c r="L563" i="5"/>
  <c r="X52" i="5"/>
  <c r="K65" i="5"/>
  <c r="O68" i="5"/>
  <c r="I72" i="5"/>
  <c r="I71" i="5" s="1"/>
  <c r="X97" i="5"/>
  <c r="X94" i="5" s="1"/>
  <c r="J209" i="5"/>
  <c r="O209" i="5"/>
  <c r="S225" i="5"/>
  <c r="K410" i="5"/>
  <c r="O528" i="5"/>
  <c r="X130" i="5"/>
  <c r="J107" i="5"/>
  <c r="O107" i="5"/>
  <c r="K217" i="5"/>
  <c r="H217" i="5"/>
  <c r="O404" i="5"/>
  <c r="O400" i="5" s="1"/>
  <c r="S410" i="5"/>
  <c r="O448" i="5"/>
  <c r="N241" i="5"/>
  <c r="N237" i="5" s="1"/>
  <c r="N228" i="5" s="1"/>
  <c r="N225" i="5" s="1"/>
  <c r="K380" i="5"/>
  <c r="N436" i="5"/>
  <c r="N434" i="5" s="1"/>
  <c r="N426" i="5" s="1"/>
  <c r="N17" i="5"/>
  <c r="I62" i="5"/>
  <c r="N62" i="5" s="1"/>
  <c r="N59" i="5" s="1"/>
  <c r="X63" i="5"/>
  <c r="N74" i="5"/>
  <c r="N345" i="5"/>
  <c r="H380" i="5"/>
  <c r="M380" i="5"/>
  <c r="I383" i="5"/>
  <c r="I401" i="5"/>
  <c r="L410" i="5"/>
  <c r="L519" i="5"/>
  <c r="Q544" i="5"/>
  <c r="Q543" i="5" s="1"/>
  <c r="I214" i="5"/>
  <c r="S380" i="5"/>
  <c r="S373" i="5" s="1"/>
  <c r="X466" i="5"/>
  <c r="L28" i="5"/>
  <c r="X67" i="5"/>
  <c r="O100" i="5"/>
  <c r="L99" i="5"/>
  <c r="I114" i="5"/>
  <c r="H129" i="5"/>
  <c r="I157" i="5"/>
  <c r="L217" i="5"/>
  <c r="H246" i="5"/>
  <c r="T380" i="5"/>
  <c r="T373" i="5" s="1"/>
  <c r="T445" i="5"/>
  <c r="T425" i="5" s="1"/>
  <c r="T424" i="5" s="1"/>
  <c r="T423" i="5" s="1"/>
  <c r="N470" i="5"/>
  <c r="Q522" i="5"/>
  <c r="I528" i="5"/>
  <c r="K107" i="5"/>
  <c r="I24" i="5"/>
  <c r="I49" i="5"/>
  <c r="X51" i="5"/>
  <c r="O81" i="5"/>
  <c r="N250" i="5"/>
  <c r="N249" i="5" s="1"/>
  <c r="N248" i="5" s="1"/>
  <c r="N247" i="5" s="1"/>
  <c r="N246" i="5" s="1"/>
  <c r="O504" i="5"/>
  <c r="O495" i="5" s="1"/>
  <c r="I522" i="5"/>
  <c r="X578" i="5"/>
  <c r="N496" i="5"/>
  <c r="I92" i="5"/>
  <c r="H99" i="5"/>
  <c r="X227" i="5"/>
  <c r="X435" i="5"/>
  <c r="N521" i="5"/>
  <c r="N520" i="5" s="1"/>
  <c r="M28" i="5"/>
  <c r="I68" i="5"/>
  <c r="M65" i="5"/>
  <c r="I94" i="5"/>
  <c r="L107" i="5"/>
  <c r="N119" i="5"/>
  <c r="O138" i="5"/>
  <c r="X144" i="5"/>
  <c r="O147" i="5"/>
  <c r="I204" i="5"/>
  <c r="I202" i="5" s="1"/>
  <c r="M217" i="5"/>
  <c r="I251" i="5"/>
  <c r="I246" i="5" s="1"/>
  <c r="N340" i="5"/>
  <c r="O486" i="5"/>
  <c r="O525" i="5"/>
  <c r="S562" i="5"/>
  <c r="N571" i="5"/>
  <c r="N103" i="5"/>
  <c r="N50" i="5"/>
  <c r="N49" i="5" s="1"/>
  <c r="N46" i="5" s="1"/>
  <c r="I76" i="5"/>
  <c r="M99" i="5"/>
  <c r="Q298" i="5"/>
  <c r="O463" i="5"/>
  <c r="N534" i="5"/>
  <c r="I22" i="5"/>
  <c r="H22" i="5"/>
  <c r="J46" i="5"/>
  <c r="N86" i="5"/>
  <c r="N81" i="5" s="1"/>
  <c r="M107" i="5"/>
  <c r="K209" i="5"/>
  <c r="O228" i="5"/>
  <c r="O225" i="5" s="1"/>
  <c r="I228" i="5"/>
  <c r="I225" i="5" s="1"/>
  <c r="I300" i="5"/>
  <c r="I376" i="5"/>
  <c r="I374" i="5" s="1"/>
  <c r="O434" i="5"/>
  <c r="O426" i="5" s="1"/>
  <c r="I448" i="5"/>
  <c r="I458" i="5"/>
  <c r="N523" i="5"/>
  <c r="N522" i="5" s="1"/>
  <c r="N349" i="5"/>
  <c r="I218" i="5"/>
  <c r="N219" i="5"/>
  <c r="N218" i="5" s="1"/>
  <c r="N18" i="5"/>
  <c r="O28" i="5"/>
  <c r="I112" i="5"/>
  <c r="I593" i="5"/>
  <c r="I592" i="5" s="1"/>
  <c r="I591" i="5" s="1"/>
  <c r="I590" i="5" s="1"/>
  <c r="I589" i="5" s="1"/>
  <c r="N594" i="5"/>
  <c r="N593" i="5" s="1"/>
  <c r="N592" i="5" s="1"/>
  <c r="N591" i="5" s="1"/>
  <c r="N590" i="5" s="1"/>
  <c r="N589" i="5" s="1"/>
  <c r="K28" i="5"/>
  <c r="N70" i="5"/>
  <c r="N68" i="5" s="1"/>
  <c r="X106" i="5"/>
  <c r="I153" i="5"/>
  <c r="X156" i="5"/>
  <c r="X153" i="5" s="1"/>
  <c r="Q153" i="5"/>
  <c r="J246" i="5"/>
  <c r="J242" i="5" s="1"/>
  <c r="K325" i="5"/>
  <c r="X408" i="5"/>
  <c r="X407" i="5" s="1"/>
  <c r="K445" i="5"/>
  <c r="S445" i="5"/>
  <c r="S425" i="5" s="1"/>
  <c r="S424" i="5" s="1"/>
  <c r="S423" i="5" s="1"/>
  <c r="I496" i="5"/>
  <c r="M495" i="5"/>
  <c r="X526" i="5"/>
  <c r="Q525" i="5"/>
  <c r="H107" i="5"/>
  <c r="X29" i="5"/>
  <c r="O57" i="5"/>
  <c r="N385" i="5"/>
  <c r="N383" i="5" s="1"/>
  <c r="S21" i="5"/>
  <c r="S20" i="5" s="1"/>
  <c r="S19" i="5" s="1"/>
  <c r="H28" i="5"/>
  <c r="M46" i="5"/>
  <c r="H65" i="5"/>
  <c r="N76" i="5"/>
  <c r="M129" i="5"/>
  <c r="O168" i="5"/>
  <c r="O164" i="5" s="1"/>
  <c r="M209" i="5"/>
  <c r="H325" i="5"/>
  <c r="X376" i="5"/>
  <c r="X374" i="5" s="1"/>
  <c r="L445" i="5"/>
  <c r="M519" i="5"/>
  <c r="O103" i="5"/>
  <c r="Q130" i="5"/>
  <c r="J129" i="5"/>
  <c r="L129" i="5"/>
  <c r="H164" i="5"/>
  <c r="O217" i="5"/>
  <c r="H228" i="5"/>
  <c r="H225" i="5" s="1"/>
  <c r="X258" i="5"/>
  <c r="M285" i="5"/>
  <c r="M284" i="5" s="1"/>
  <c r="Q293" i="5"/>
  <c r="X293" i="5" s="1"/>
  <c r="O285" i="5"/>
  <c r="O325" i="5"/>
  <c r="J380" i="5"/>
  <c r="I386" i="5"/>
  <c r="X388" i="5"/>
  <c r="N468" i="5"/>
  <c r="O472" i="5"/>
  <c r="J495" i="5"/>
  <c r="K495" i="5"/>
  <c r="I547" i="5"/>
  <c r="I544" i="5" s="1"/>
  <c r="I543" i="5" s="1"/>
  <c r="I542" i="5" s="1"/>
  <c r="K129" i="5"/>
  <c r="I159" i="5"/>
  <c r="M246" i="5"/>
  <c r="M242" i="5" s="1"/>
  <c r="N386" i="5"/>
  <c r="L380" i="5"/>
  <c r="H400" i="5"/>
  <c r="T410" i="5"/>
  <c r="I453" i="5"/>
  <c r="N456" i="5"/>
  <c r="I463" i="5"/>
  <c r="M445" i="5"/>
  <c r="L495" i="5"/>
  <c r="K519" i="5"/>
  <c r="N528" i="5"/>
  <c r="O565" i="5"/>
  <c r="X244" i="5"/>
  <c r="U425" i="5"/>
  <c r="U424" i="5" s="1"/>
  <c r="U423" i="5" s="1"/>
  <c r="U422" i="5" s="1"/>
  <c r="X405" i="5"/>
  <c r="Q376" i="5"/>
  <c r="Q374" i="5" s="1"/>
  <c r="X510" i="5"/>
  <c r="Q458" i="5"/>
  <c r="K563" i="5"/>
  <c r="N548" i="5"/>
  <c r="N547" i="5" s="1"/>
  <c r="N544" i="5" s="1"/>
  <c r="N543" i="5" s="1"/>
  <c r="N542" i="5" s="1"/>
  <c r="X462" i="5"/>
  <c r="X458" i="5" s="1"/>
  <c r="Q528" i="5"/>
  <c r="N504" i="5"/>
  <c r="L285" i="5"/>
  <c r="L284" i="5" s="1"/>
  <c r="X105" i="5"/>
  <c r="X257" i="5"/>
  <c r="I38" i="5"/>
  <c r="I138" i="5"/>
  <c r="N34" i="5"/>
  <c r="I286" i="5"/>
  <c r="I31" i="5"/>
  <c r="T225" i="5"/>
  <c r="O246" i="5"/>
  <c r="O242" i="5" s="1"/>
  <c r="K246" i="5"/>
  <c r="K242" i="5" s="1"/>
  <c r="L246" i="5"/>
  <c r="L242" i="5" s="1"/>
  <c r="O410" i="5"/>
  <c r="M410" i="5"/>
  <c r="Q411" i="5"/>
  <c r="I413" i="5"/>
  <c r="N414" i="5"/>
  <c r="N413" i="5" s="1"/>
  <c r="Q453" i="5"/>
  <c r="X548" i="5"/>
  <c r="X80" i="5"/>
  <c r="N114" i="5"/>
  <c r="X22" i="5"/>
  <c r="I100" i="5"/>
  <c r="N101" i="5"/>
  <c r="N100" i="5" s="1"/>
  <c r="X177" i="5"/>
  <c r="N257" i="5"/>
  <c r="N254" i="5" s="1"/>
  <c r="H254" i="5"/>
  <c r="N33" i="5"/>
  <c r="N31" i="5" s="1"/>
  <c r="O49" i="5"/>
  <c r="O46" i="5" s="1"/>
  <c r="I103" i="5"/>
  <c r="N111" i="5"/>
  <c r="N110" i="5" s="1"/>
  <c r="N132" i="5"/>
  <c r="N130" i="5" s="1"/>
  <c r="X308" i="5"/>
  <c r="X298" i="5" s="1"/>
  <c r="I325" i="5"/>
  <c r="N326" i="5"/>
  <c r="I404" i="5"/>
  <c r="N405" i="5"/>
  <c r="N404" i="5" s="1"/>
  <c r="N400" i="5" s="1"/>
  <c r="Q22" i="5"/>
  <c r="N23" i="5"/>
  <c r="N22" i="5" s="1"/>
  <c r="N26" i="5"/>
  <c r="N24" i="5" s="1"/>
  <c r="L65" i="5"/>
  <c r="X72" i="5"/>
  <c r="X86" i="5"/>
  <c r="N94" i="5"/>
  <c r="I132" i="5"/>
  <c r="I130" i="5" s="1"/>
  <c r="I147" i="5"/>
  <c r="N160" i="5"/>
  <c r="N159" i="5" s="1"/>
  <c r="X203" i="5"/>
  <c r="I298" i="5"/>
  <c r="N299" i="5"/>
  <c r="N298" i="5" s="1"/>
  <c r="X382" i="5"/>
  <c r="N393" i="5"/>
  <c r="N389" i="5" s="1"/>
  <c r="I389" i="5"/>
  <c r="N213" i="5"/>
  <c r="N211" i="5" s="1"/>
  <c r="N209" i="5" s="1"/>
  <c r="I211" i="5"/>
  <c r="I47" i="5"/>
  <c r="H57" i="5"/>
  <c r="N221" i="5"/>
  <c r="N220" i="5" s="1"/>
  <c r="I220" i="5"/>
  <c r="Q448" i="5"/>
  <c r="X449" i="5"/>
  <c r="X448" i="5" s="1"/>
  <c r="H16" i="5"/>
  <c r="H15" i="5" s="1"/>
  <c r="X16" i="5"/>
  <c r="X15" i="5" s="1"/>
  <c r="N42" i="5"/>
  <c r="O22" i="5"/>
  <c r="J28" i="5"/>
  <c r="I34" i="5"/>
  <c r="N40" i="5"/>
  <c r="N38" i="5" s="1"/>
  <c r="I42" i="5"/>
  <c r="N58" i="5"/>
  <c r="X58" i="5"/>
  <c r="X57" i="5" s="1"/>
  <c r="J71" i="5"/>
  <c r="J65" i="5" s="1"/>
  <c r="I81" i="5"/>
  <c r="X101" i="5"/>
  <c r="N139" i="5"/>
  <c r="N138" i="5" s="1"/>
  <c r="N148" i="5"/>
  <c r="N147" i="5" s="1"/>
  <c r="X263" i="5"/>
  <c r="I269" i="5"/>
  <c r="N270" i="5"/>
  <c r="N269" i="5" s="1"/>
  <c r="N378" i="5"/>
  <c r="N376" i="5" s="1"/>
  <c r="N374" i="5" s="1"/>
  <c r="H209" i="5"/>
  <c r="L209" i="5"/>
  <c r="Q249" i="5"/>
  <c r="I271" i="5"/>
  <c r="J285" i="5"/>
  <c r="J284" i="5" s="1"/>
  <c r="N295" i="5"/>
  <c r="N286" i="5" s="1"/>
  <c r="H286" i="5"/>
  <c r="H285" i="5" s="1"/>
  <c r="K285" i="5"/>
  <c r="I396" i="5"/>
  <c r="N397" i="5"/>
  <c r="N396" i="5" s="1"/>
  <c r="X406" i="5"/>
  <c r="I412" i="5"/>
  <c r="J411" i="5"/>
  <c r="J410" i="5" s="1"/>
  <c r="X415" i="5"/>
  <c r="N203" i="5"/>
  <c r="N202" i="5" s="1"/>
  <c r="H202" i="5"/>
  <c r="J217" i="5"/>
  <c r="N271" i="5"/>
  <c r="I309" i="5"/>
  <c r="N310" i="5"/>
  <c r="N309" i="5" s="1"/>
  <c r="Q309" i="5"/>
  <c r="X318" i="5"/>
  <c r="N344" i="5"/>
  <c r="O389" i="5"/>
  <c r="O380" i="5" s="1"/>
  <c r="J400" i="5"/>
  <c r="N483" i="5"/>
  <c r="N472" i="5" s="1"/>
  <c r="I472" i="5"/>
  <c r="I434" i="5"/>
  <c r="I426" i="5" s="1"/>
  <c r="N449" i="5"/>
  <c r="N448" i="5" s="1"/>
  <c r="H453" i="5"/>
  <c r="N454" i="5"/>
  <c r="X456" i="5"/>
  <c r="H463" i="5"/>
  <c r="N464" i="5"/>
  <c r="J472" i="5"/>
  <c r="J445" i="5" s="1"/>
  <c r="X503" i="5"/>
  <c r="I534" i="5"/>
  <c r="H575" i="5"/>
  <c r="N459" i="5"/>
  <c r="N458" i="5" s="1"/>
  <c r="Q463" i="5"/>
  <c r="H519" i="5"/>
  <c r="Q520" i="5"/>
  <c r="X521" i="5"/>
  <c r="I564" i="5"/>
  <c r="N568" i="5"/>
  <c r="I486" i="5"/>
  <c r="N487" i="5"/>
  <c r="N486" i="5" s="1"/>
  <c r="I504" i="5"/>
  <c r="X506" i="5"/>
  <c r="I527" i="5"/>
  <c r="J525" i="5"/>
  <c r="J519" i="5" s="1"/>
  <c r="X535" i="5"/>
  <c r="J563" i="5"/>
  <c r="Q589" i="5"/>
  <c r="X325" i="5" l="1"/>
  <c r="Q286" i="5"/>
  <c r="Q285" i="5" s="1"/>
  <c r="X81" i="5"/>
  <c r="U598" i="5"/>
  <c r="X504" i="5"/>
  <c r="X103" i="5"/>
  <c r="X100" i="5"/>
  <c r="X71" i="5"/>
  <c r="Q107" i="5"/>
  <c r="X107" i="5" s="1"/>
  <c r="M373" i="5"/>
  <c r="M283" i="5" s="1"/>
  <c r="X262" i="5"/>
  <c r="X254" i="5" s="1"/>
  <c r="X253" i="5" s="1"/>
  <c r="X389" i="5"/>
  <c r="X76" i="5"/>
  <c r="X49" i="5"/>
  <c r="X46" i="5" s="1"/>
  <c r="X19" i="5" s="1"/>
  <c r="X204" i="5"/>
  <c r="X202" i="5" s="1"/>
  <c r="X201" i="5" s="1"/>
  <c r="L21" i="5"/>
  <c r="L20" i="5" s="1"/>
  <c r="L19" i="5" s="1"/>
  <c r="K21" i="5"/>
  <c r="K20" i="5" s="1"/>
  <c r="K19" i="5" s="1"/>
  <c r="L373" i="5"/>
  <c r="L283" i="5" s="1"/>
  <c r="K373" i="5"/>
  <c r="Q129" i="5"/>
  <c r="Q128" i="5" s="1"/>
  <c r="X453" i="5"/>
  <c r="X226" i="5"/>
  <c r="X225" i="5" s="1"/>
  <c r="X547" i="5"/>
  <c r="X520" i="5"/>
  <c r="T543" i="5"/>
  <c r="T542" i="5" s="1"/>
  <c r="S543" i="5"/>
  <c r="S542" i="5" s="1"/>
  <c r="X575" i="5"/>
  <c r="Q21" i="5"/>
  <c r="Q20" i="5" s="1"/>
  <c r="X159" i="5"/>
  <c r="Q201" i="5"/>
  <c r="Q200" i="5" s="1"/>
  <c r="Q519" i="5"/>
  <c r="X496" i="5"/>
  <c r="X436" i="5"/>
  <c r="Q434" i="5"/>
  <c r="Q426" i="5" s="1"/>
  <c r="X593" i="5"/>
  <c r="X592" i="5" s="1"/>
  <c r="X591" i="5" s="1"/>
  <c r="X589" i="5" s="1"/>
  <c r="J56" i="5"/>
  <c r="J55" i="5" s="1"/>
  <c r="J54" i="5" s="1"/>
  <c r="X528" i="5"/>
  <c r="X525" i="5"/>
  <c r="X413" i="5"/>
  <c r="X410" i="5" s="1"/>
  <c r="K56" i="5"/>
  <c r="K55" i="5" s="1"/>
  <c r="K54" i="5" s="1"/>
  <c r="X534" i="5"/>
  <c r="X532" i="5" s="1"/>
  <c r="X164" i="5"/>
  <c r="J201" i="5"/>
  <c r="J200" i="5" s="1"/>
  <c r="J199" i="5" s="1"/>
  <c r="S14" i="5"/>
  <c r="X229" i="5"/>
  <c r="T14" i="5"/>
  <c r="X28" i="5"/>
  <c r="Q542" i="5"/>
  <c r="X463" i="5"/>
  <c r="X386" i="5"/>
  <c r="I209" i="5"/>
  <c r="O519" i="5"/>
  <c r="N72" i="5"/>
  <c r="N71" i="5" s="1"/>
  <c r="N65" i="5" s="1"/>
  <c r="M21" i="5"/>
  <c r="M20" i="5" s="1"/>
  <c r="M19" i="5" s="1"/>
  <c r="H564" i="5"/>
  <c r="H563" i="5" s="1"/>
  <c r="H21" i="5"/>
  <c r="H20" i="5" s="1"/>
  <c r="H19" i="5" s="1"/>
  <c r="H373" i="5"/>
  <c r="O564" i="5"/>
  <c r="O563" i="5" s="1"/>
  <c r="L201" i="5"/>
  <c r="L200" i="5" s="1"/>
  <c r="L199" i="5" s="1"/>
  <c r="O65" i="5"/>
  <c r="I46" i="5"/>
  <c r="L56" i="5"/>
  <c r="L55" i="5" s="1"/>
  <c r="L54" i="5" s="1"/>
  <c r="I107" i="5"/>
  <c r="N463" i="5"/>
  <c r="K284" i="5"/>
  <c r="N16" i="5"/>
  <c r="N15" i="5" s="1"/>
  <c r="M56" i="5"/>
  <c r="M55" i="5" s="1"/>
  <c r="M54" i="5" s="1"/>
  <c r="K201" i="5"/>
  <c r="K200" i="5" s="1"/>
  <c r="K199" i="5" s="1"/>
  <c r="I445" i="5"/>
  <c r="Q410" i="5"/>
  <c r="O201" i="5"/>
  <c r="O200" i="5" s="1"/>
  <c r="O199" i="5" s="1"/>
  <c r="I400" i="5"/>
  <c r="O445" i="5"/>
  <c r="O425" i="5" s="1"/>
  <c r="O424" i="5" s="1"/>
  <c r="O423" i="5" s="1"/>
  <c r="N99" i="5"/>
  <c r="J373" i="5"/>
  <c r="J283" i="5" s="1"/>
  <c r="N57" i="5"/>
  <c r="I59" i="5"/>
  <c r="I57" i="5" s="1"/>
  <c r="H242" i="5"/>
  <c r="X309" i="5"/>
  <c r="Q225" i="5"/>
  <c r="I495" i="5"/>
  <c r="N495" i="5"/>
  <c r="S283" i="5"/>
  <c r="H56" i="5"/>
  <c r="H55" i="5" s="1"/>
  <c r="H54" i="5" s="1"/>
  <c r="H128" i="5"/>
  <c r="H118" i="5" s="1"/>
  <c r="T283" i="5"/>
  <c r="O373" i="5"/>
  <c r="N564" i="5"/>
  <c r="N562" i="5" s="1"/>
  <c r="N107" i="5"/>
  <c r="O99" i="5"/>
  <c r="S422" i="5"/>
  <c r="O129" i="5"/>
  <c r="O128" i="5" s="1"/>
  <c r="O118" i="5" s="1"/>
  <c r="N217" i="5"/>
  <c r="N201" i="5" s="1"/>
  <c r="N200" i="5" s="1"/>
  <c r="N199" i="5" s="1"/>
  <c r="J21" i="5"/>
  <c r="J20" i="5" s="1"/>
  <c r="J19" i="5" s="1"/>
  <c r="I380" i="5"/>
  <c r="N325" i="5"/>
  <c r="L425" i="5"/>
  <c r="L424" i="5" s="1"/>
  <c r="L423" i="5" s="1"/>
  <c r="I217" i="5"/>
  <c r="T422" i="5"/>
  <c r="M425" i="5"/>
  <c r="M424" i="5" s="1"/>
  <c r="M423" i="5" s="1"/>
  <c r="M201" i="5"/>
  <c r="M200" i="5" s="1"/>
  <c r="M199" i="5" s="1"/>
  <c r="K425" i="5"/>
  <c r="K424" i="5" s="1"/>
  <c r="K423" i="5" s="1"/>
  <c r="K422" i="5" s="1"/>
  <c r="K416" i="5" s="1"/>
  <c r="O284" i="5"/>
  <c r="X138" i="5"/>
  <c r="J425" i="5"/>
  <c r="J424" i="5" s="1"/>
  <c r="J423" i="5" s="1"/>
  <c r="J417" i="5" s="1"/>
  <c r="N453" i="5"/>
  <c r="I242" i="5"/>
  <c r="N380" i="5"/>
  <c r="N373" i="5" s="1"/>
  <c r="N129" i="5"/>
  <c r="H445" i="5"/>
  <c r="H425" i="5" s="1"/>
  <c r="H424" i="5" s="1"/>
  <c r="H423" i="5" s="1"/>
  <c r="H422" i="5" s="1"/>
  <c r="H416" i="5" s="1"/>
  <c r="H284" i="5"/>
  <c r="O21" i="5"/>
  <c r="O20" i="5" s="1"/>
  <c r="O19" i="5" s="1"/>
  <c r="Q373" i="5"/>
  <c r="X404" i="5"/>
  <c r="X400" i="5" s="1"/>
  <c r="Q445" i="5"/>
  <c r="I129" i="5"/>
  <c r="I28" i="5"/>
  <c r="N28" i="5"/>
  <c r="N21" i="5" s="1"/>
  <c r="N20" i="5" s="1"/>
  <c r="N19" i="5" s="1"/>
  <c r="I285" i="5"/>
  <c r="I284" i="5" s="1"/>
  <c r="I65" i="5"/>
  <c r="N242" i="5"/>
  <c r="X297" i="5"/>
  <c r="N285" i="5"/>
  <c r="N527" i="5"/>
  <c r="N525" i="5" s="1"/>
  <c r="N519" i="5" s="1"/>
  <c r="I525" i="5"/>
  <c r="I519" i="5" s="1"/>
  <c r="I563" i="5"/>
  <c r="I562" i="5"/>
  <c r="X568" i="5"/>
  <c r="X565" i="5" s="1"/>
  <c r="X148" i="5"/>
  <c r="I99" i="5"/>
  <c r="H201" i="5"/>
  <c r="H200" i="5" s="1"/>
  <c r="H199" i="5" s="1"/>
  <c r="N412" i="5"/>
  <c r="N411" i="5" s="1"/>
  <c r="N410" i="5" s="1"/>
  <c r="I411" i="5"/>
  <c r="I410" i="5" s="1"/>
  <c r="Q248" i="5"/>
  <c r="Q247" i="5" s="1"/>
  <c r="X250" i="5"/>
  <c r="X249" i="5" s="1"/>
  <c r="X248" i="5" s="1"/>
  <c r="X247" i="5" s="1"/>
  <c r="X246" i="5" s="1"/>
  <c r="X242" i="5" l="1"/>
  <c r="X286" i="5"/>
  <c r="X445" i="5"/>
  <c r="X99" i="5"/>
  <c r="X495" i="5"/>
  <c r="X65" i="5"/>
  <c r="X380" i="5"/>
  <c r="X373" i="5" s="1"/>
  <c r="L14" i="5"/>
  <c r="K14" i="5"/>
  <c r="X564" i="5"/>
  <c r="K283" i="5"/>
  <c r="Q284" i="5"/>
  <c r="Q283" i="5" s="1"/>
  <c r="X147" i="5"/>
  <c r="X129" i="5" s="1"/>
  <c r="X128" i="5" s="1"/>
  <c r="X434" i="5"/>
  <c r="X426" i="5" s="1"/>
  <c r="Q562" i="5"/>
  <c r="X562" i="5" s="1"/>
  <c r="X519" i="5"/>
  <c r="J14" i="5"/>
  <c r="I201" i="5"/>
  <c r="I200" i="5" s="1"/>
  <c r="I199" i="5" s="1"/>
  <c r="Q14" i="5"/>
  <c r="H562" i="5"/>
  <c r="I21" i="5"/>
  <c r="I20" i="5" s="1"/>
  <c r="I19" i="5" s="1"/>
  <c r="O422" i="5"/>
  <c r="O416" i="5" s="1"/>
  <c r="X21" i="5"/>
  <c r="X20" i="5" s="1"/>
  <c r="I373" i="5"/>
  <c r="I283" i="5" s="1"/>
  <c r="X544" i="5"/>
  <c r="H283" i="5"/>
  <c r="M14" i="5"/>
  <c r="O562" i="5"/>
  <c r="N445" i="5"/>
  <c r="N425" i="5" s="1"/>
  <c r="N424" i="5" s="1"/>
  <c r="N423" i="5" s="1"/>
  <c r="N417" i="5" s="1"/>
  <c r="O56" i="5"/>
  <c r="O55" i="5" s="1"/>
  <c r="O54" i="5" s="1"/>
  <c r="O14" i="5" s="1"/>
  <c r="N563" i="5"/>
  <c r="I425" i="5"/>
  <c r="I424" i="5" s="1"/>
  <c r="I423" i="5" s="1"/>
  <c r="I417" i="5" s="1"/>
  <c r="O417" i="5"/>
  <c r="N56" i="5"/>
  <c r="N55" i="5" s="1"/>
  <c r="N54" i="5" s="1"/>
  <c r="N14" i="5" s="1"/>
  <c r="Q425" i="5"/>
  <c r="Q424" i="5" s="1"/>
  <c r="Q423" i="5" s="1"/>
  <c r="Q422" i="5" s="1"/>
  <c r="H14" i="5"/>
  <c r="H417" i="5"/>
  <c r="O283" i="5"/>
  <c r="L417" i="5"/>
  <c r="L422" i="5"/>
  <c r="L416" i="5" s="1"/>
  <c r="N284" i="5"/>
  <c r="N283" i="5" s="1"/>
  <c r="J422" i="5"/>
  <c r="J416" i="5" s="1"/>
  <c r="K417" i="5"/>
  <c r="M417" i="5"/>
  <c r="M422" i="5"/>
  <c r="Q246" i="5"/>
  <c r="Q242" i="5" s="1"/>
  <c r="I56" i="5"/>
  <c r="I55" i="5" s="1"/>
  <c r="I54" i="5" s="1"/>
  <c r="X285" i="5"/>
  <c r="X56" i="5" l="1"/>
  <c r="X55" i="5" s="1"/>
  <c r="X54" i="5" s="1"/>
  <c r="X14" i="5" s="1"/>
  <c r="K598" i="5"/>
  <c r="X284" i="5"/>
  <c r="X283" i="5" s="1"/>
  <c r="X543" i="5"/>
  <c r="X542" i="5" s="1"/>
  <c r="H598" i="5"/>
  <c r="I14" i="5"/>
  <c r="X425" i="5"/>
  <c r="X424" i="5" s="1"/>
  <c r="X423" i="5" s="1"/>
  <c r="X422" i="5" s="1"/>
  <c r="J598" i="5"/>
  <c r="I422" i="5"/>
  <c r="I416" i="5" s="1"/>
  <c r="N422" i="5"/>
  <c r="N416" i="5" s="1"/>
  <c r="P602" i="5"/>
  <c r="O598" i="5"/>
  <c r="L598" i="5"/>
  <c r="M416" i="5"/>
  <c r="M598" i="5"/>
  <c r="I598" i="5" l="1"/>
  <c r="N598" i="5"/>
  <c r="S199" i="5"/>
  <c r="S598" i="5" s="1"/>
  <c r="T199" i="5"/>
  <c r="R199" i="5"/>
  <c r="R598" i="5" s="1"/>
  <c r="X200" i="5"/>
  <c r="X199" i="5" s="1"/>
  <c r="T598" i="5" l="1"/>
  <c r="X598" i="5"/>
  <c r="Q199" i="5"/>
  <c r="Q598" i="5" s="1"/>
  <c r="X611" i="5" l="1"/>
  <c r="X606" i="5"/>
  <c r="X601" i="5"/>
</calcChain>
</file>

<file path=xl/sharedStrings.xml><?xml version="1.0" encoding="utf-8"?>
<sst xmlns="http://schemas.openxmlformats.org/spreadsheetml/2006/main" count="2696" uniqueCount="641">
  <si>
    <t>(рублей)</t>
  </si>
  <si>
    <t>Наименование разделов, подразделов</t>
  </si>
  <si>
    <t>Вед</t>
  </si>
  <si>
    <t>КФСР</t>
  </si>
  <si>
    <t>КЦСР</t>
  </si>
  <si>
    <t>КВР</t>
  </si>
  <si>
    <t>КЭС</t>
  </si>
  <si>
    <t>Доп. ЭК</t>
  </si>
  <si>
    <t>Бюджет 2016 год</t>
  </si>
  <si>
    <t>Сумма уточнения, в том числе:</t>
  </si>
  <si>
    <t>За счет передвижек</t>
  </si>
  <si>
    <t>За счет РБ</t>
  </si>
  <si>
    <t>За счет МБТ</t>
  </si>
  <si>
    <t>За счет дополнительных собственных доходов</t>
  </si>
  <si>
    <t>Бюджет 2014 год с уточнением</t>
  </si>
  <si>
    <t>Бюджет 2016 год (оптимизация на 20%)</t>
  </si>
  <si>
    <t>ОБЩЕГОСУДАРСТВЕННЫЕ ВОПРОСЫ (непрограммный метод)</t>
  </si>
  <si>
    <t>0100</t>
  </si>
  <si>
    <t>00 0 00 0000 0</t>
  </si>
  <si>
    <t>000</t>
  </si>
  <si>
    <t>Глава местной администрации (непрограммный метод)</t>
  </si>
  <si>
    <t>0102</t>
  </si>
  <si>
    <t>99 1 00 1160 0</t>
  </si>
  <si>
    <t>121</t>
  </si>
  <si>
    <t>Оплата труда и начисления на оплату труда</t>
  </si>
  <si>
    <t>210</t>
  </si>
  <si>
    <t>Заработная плата</t>
  </si>
  <si>
    <t>211</t>
  </si>
  <si>
    <t>Начисления на оплату труда</t>
  </si>
  <si>
    <t>129</t>
  </si>
  <si>
    <t>213</t>
  </si>
  <si>
    <t>Функционирование законодательных (представительных) органов государственной власти и местного самоуправления (непрограммный метод)</t>
  </si>
  <si>
    <t>0103</t>
  </si>
  <si>
    <t>Руководство и управление в сфере установленных функций</t>
  </si>
  <si>
    <t>99 1 00 1141 0</t>
  </si>
  <si>
    <t>Центральный аппарат</t>
  </si>
  <si>
    <t>Прочие выплаты</t>
  </si>
  <si>
    <t>Командировки и служебные разъезды</t>
  </si>
  <si>
    <t>1104</t>
  </si>
  <si>
    <t>Проезд в отпуск</t>
  </si>
  <si>
    <t>1101</t>
  </si>
  <si>
    <t>Приобретение услуг</t>
  </si>
  <si>
    <t>220</t>
  </si>
  <si>
    <t xml:space="preserve">Услуги связи </t>
  </si>
  <si>
    <t>242</t>
  </si>
  <si>
    <t>221</t>
  </si>
  <si>
    <t>244</t>
  </si>
  <si>
    <t>Транспортные услуги</t>
  </si>
  <si>
    <t>222</t>
  </si>
  <si>
    <t>1125</t>
  </si>
  <si>
    <t>Услуги по содержанию имущества</t>
  </si>
  <si>
    <t>225</t>
  </si>
  <si>
    <t>Оплата содержания помещений</t>
  </si>
  <si>
    <t>1111</t>
  </si>
  <si>
    <t>Оплата текущего ремонта оборудования и инвентаря</t>
  </si>
  <si>
    <t xml:space="preserve">Оплата текущего ремонта зданий и сооружений </t>
  </si>
  <si>
    <t>1105</t>
  </si>
  <si>
    <t>Прочие услуги</t>
  </si>
  <si>
    <t>226</t>
  </si>
  <si>
    <t>Прочие работы, услуги (информационное обслуживание)</t>
  </si>
  <si>
    <t>1136</t>
  </si>
  <si>
    <t>Подписка на периодические и справочные издания</t>
  </si>
  <si>
    <t>1137</t>
  </si>
  <si>
    <t xml:space="preserve">Прочие текущие расходы </t>
  </si>
  <si>
    <t>1140</t>
  </si>
  <si>
    <t>Прочие расходы</t>
  </si>
  <si>
    <t>290</t>
  </si>
  <si>
    <t>Представительские расходы, прием и обслуживание делегаций</t>
  </si>
  <si>
    <t>1149</t>
  </si>
  <si>
    <t>1150</t>
  </si>
  <si>
    <t>Поступление нефинансовых активов</t>
  </si>
  <si>
    <t>300</t>
  </si>
  <si>
    <t>Увеличение стоимости основных средств</t>
  </si>
  <si>
    <t>310</t>
  </si>
  <si>
    <t xml:space="preserve">Приобретение оборудования и предметов длительного пользования (в части предметов со сроком полезного использования более 12 месяцев) </t>
  </si>
  <si>
    <t>1116</t>
  </si>
  <si>
    <t>Увеличение стоимости материальных запасов</t>
  </si>
  <si>
    <t>340</t>
  </si>
  <si>
    <t xml:space="preserve">Продукты питания </t>
  </si>
  <si>
    <t>1120</t>
  </si>
  <si>
    <t xml:space="preserve">Прочие расходные материалы и предметы снабжения (в части расходных материалов) </t>
  </si>
  <si>
    <t>1123</t>
  </si>
  <si>
    <t>Функционирование местных администраций (непрограммный метод)</t>
  </si>
  <si>
    <t>0104</t>
  </si>
  <si>
    <t>122</t>
  </si>
  <si>
    <t>212</t>
  </si>
  <si>
    <t>Услуги связи</t>
  </si>
  <si>
    <t>Коммунальные услуги</t>
  </si>
  <si>
    <t>223</t>
  </si>
  <si>
    <t>Оплата отопления</t>
  </si>
  <si>
    <t>11072</t>
  </si>
  <si>
    <t xml:space="preserve">Оплата потребления электрической энергии </t>
  </si>
  <si>
    <t xml:space="preserve"> 1109</t>
  </si>
  <si>
    <t>Оплата услуг горячего и холодного водоснабжения</t>
  </si>
  <si>
    <t xml:space="preserve"> 1110</t>
  </si>
  <si>
    <t>Оплата услуг канализации, водоотведения</t>
  </si>
  <si>
    <t>1126</t>
  </si>
  <si>
    <t>Текущий и капитальный ремонт</t>
  </si>
  <si>
    <t>Противопожарные мероприятия</t>
  </si>
  <si>
    <t>1106</t>
  </si>
  <si>
    <t>Другие расходы по содержанию имущества (тех.обсл.ПК)</t>
  </si>
  <si>
    <t>1129</t>
  </si>
  <si>
    <t>Командировки и служебные разъезды (оплата проживания на время нахождения в служебной командировке)</t>
  </si>
  <si>
    <t>1133</t>
  </si>
  <si>
    <t>Услуги по страхованию</t>
  </si>
  <si>
    <t>1135</t>
  </si>
  <si>
    <t>Услуги в области информационных технологий</t>
  </si>
  <si>
    <t>Плата за обучение на курсах повышения квалификации</t>
  </si>
  <si>
    <t>1139</t>
  </si>
  <si>
    <t>Объявление в СМИ</t>
  </si>
  <si>
    <t>Социальное обеспечение</t>
  </si>
  <si>
    <t>65 5 00 7029 0</t>
  </si>
  <si>
    <t>321</t>
  </si>
  <si>
    <t>260</t>
  </si>
  <si>
    <t>Пенсии, пособия выплачиваемые организациями сектора гос.управления</t>
  </si>
  <si>
    <t>263</t>
  </si>
  <si>
    <t>Уплата налогов и сборов (налог на имущество)</t>
  </si>
  <si>
    <t>851</t>
  </si>
  <si>
    <t>1143</t>
  </si>
  <si>
    <t>Уплата налогов и сборов (транспортный налог)</t>
  </si>
  <si>
    <t>852</t>
  </si>
  <si>
    <t>1144</t>
  </si>
  <si>
    <t>Уплата штрафов, пеней и несвоевременную уплату налогов</t>
  </si>
  <si>
    <t>853</t>
  </si>
  <si>
    <t>Приобретение оборудования и предметов длительного пользования (в части предметов со сроком полезного использования более 12 месяцев)</t>
  </si>
  <si>
    <t xml:space="preserve">Оплата горюче-смазочных материалов </t>
  </si>
  <si>
    <t>1121</t>
  </si>
  <si>
    <t xml:space="preserve">Прочие расходные материалы и предметы снабжения </t>
  </si>
  <si>
    <t>Обеспечение проведения выборов и референдумов</t>
  </si>
  <si>
    <t>0107</t>
  </si>
  <si>
    <t>804</t>
  </si>
  <si>
    <t xml:space="preserve">Транспортные услуги (за исключением расходов на обязательное страхование гражд.ответ.влад.трансп.средств) </t>
  </si>
  <si>
    <t>Приобретение продуктов питания (представительские расходы)</t>
  </si>
  <si>
    <t>Приобретение ГСМ</t>
  </si>
  <si>
    <t>99 3 00 1003 0</t>
  </si>
  <si>
    <t>Содержание муниципального имущества</t>
  </si>
  <si>
    <t>0113</t>
  </si>
  <si>
    <t>99 5 00 9100 2</t>
  </si>
  <si>
    <t>1109</t>
  </si>
  <si>
    <t>1110</t>
  </si>
  <si>
    <t>243</t>
  </si>
  <si>
    <t>Работы, услуги по содержанию имущества (опл.по дог.ГПХ за уборку здания администрации)</t>
  </si>
  <si>
    <t>Работы, услуги по содержанию имущества (вывоз мусора)</t>
  </si>
  <si>
    <t xml:space="preserve">Другие расходы по содержанию имущества </t>
  </si>
  <si>
    <t>Другие расходы по содержанию имущества (тех.осмотр автомобиля, ремонт оборудования)</t>
  </si>
  <si>
    <t>Прочие работы, услуги (опл.по дог.ГПХ за охрану здания Админисрации)</t>
  </si>
  <si>
    <t>1134</t>
  </si>
  <si>
    <t>Иные работы и услуги</t>
  </si>
  <si>
    <t>Иные работы и услуги (оценка имущества)</t>
  </si>
  <si>
    <t>Приобретение оборудования и предметов длительного пользования</t>
  </si>
  <si>
    <t>Прочие расходные материалы и предметы снабжения (хозтовары)</t>
  </si>
  <si>
    <t>Непрограммные расходы</t>
  </si>
  <si>
    <t>Иные работы и услуги (нотариальные действия)</t>
  </si>
  <si>
    <t>Иные работы и услуги (доплата за ЗАГС)</t>
  </si>
  <si>
    <t xml:space="preserve">Прочие расходы </t>
  </si>
  <si>
    <t>Прочие расходы (представительские расходы)</t>
  </si>
  <si>
    <t>99 5 00 9101 7</t>
  </si>
  <si>
    <t>99 5 00 7110 0</t>
  </si>
  <si>
    <t>- резервные фонды органов местного самоуправления</t>
  </si>
  <si>
    <t>Резервные фонды органов местного самоуправления</t>
  </si>
  <si>
    <t>360</t>
  </si>
  <si>
    <t>Уплата госпошлины</t>
  </si>
  <si>
    <t>831</t>
  </si>
  <si>
    <t>1145</t>
  </si>
  <si>
    <t>Прочие расходы (представительские расходы:приобретение ценных подарков и цветов)</t>
  </si>
  <si>
    <t>1148</t>
  </si>
  <si>
    <t>Национальная оборона</t>
  </si>
  <si>
    <t>0200</t>
  </si>
  <si>
    <t>Фонд компенсаций</t>
  </si>
  <si>
    <t>0203</t>
  </si>
  <si>
    <t>99 5 00 5118 0</t>
  </si>
  <si>
    <t>ВУС</t>
  </si>
  <si>
    <t>365</t>
  </si>
  <si>
    <t xml:space="preserve">Командировки и служебные разъезды (суточные) </t>
  </si>
  <si>
    <t>Оплата  льгот по коммунальным услугам</t>
  </si>
  <si>
    <t>95 3 5118</t>
  </si>
  <si>
    <t xml:space="preserve">Командировки и служебные разъезды (оплата транспортных расходов) </t>
  </si>
  <si>
    <t xml:space="preserve">Командировки и служебные разъезды (оплата проживания на время нахождения в служебной командировке) </t>
  </si>
  <si>
    <t>Прочие расходные материалы и предметы снабжения (в части предметов со сроком полезного использования более 12 месяцев)</t>
  </si>
  <si>
    <t>Прочие расходные материалы и предметы снабжения (в части расходных материалов)</t>
  </si>
  <si>
    <t>Национальная безопасность и правоохранительная деятельность</t>
  </si>
  <si>
    <t>0300</t>
  </si>
  <si>
    <t>Государственная регистрация актов гражданского состояния</t>
  </si>
  <si>
    <t>0304</t>
  </si>
  <si>
    <t>99 5 00 5930 0</t>
  </si>
  <si>
    <t>Иные работы, услуги</t>
  </si>
  <si>
    <t>Предупреждение и ликвидация последствий чрезвычайных ситуаций и стихийных бедствий природного и техногенного характера (непрограммные расходы)</t>
  </si>
  <si>
    <t>0309</t>
  </si>
  <si>
    <t>99 5 00 9100 3</t>
  </si>
  <si>
    <t xml:space="preserve">Иные работы и услуги </t>
  </si>
  <si>
    <t>Другие вопросы в области национальной безопасности и правоохранительной деятельности</t>
  </si>
  <si>
    <t>0314</t>
  </si>
  <si>
    <t>795 00 00</t>
  </si>
  <si>
    <t>795 00 00 500</t>
  </si>
  <si>
    <t>НАЦИОНАЛЬНАЯ ЭКОНОМИКА</t>
  </si>
  <si>
    <t>0400</t>
  </si>
  <si>
    <t>Сельское хозяйство и рыболовство</t>
  </si>
  <si>
    <t>0405</t>
  </si>
  <si>
    <t>Иные работы и услуги (отлов безнадзорных животных) из РБ</t>
  </si>
  <si>
    <t>МЦП "Социальная поддержка населения МО "Посёлок Чернышевский" на 2013-2017 годы"</t>
  </si>
  <si>
    <t>0408</t>
  </si>
  <si>
    <t>Другие виды транспорта</t>
  </si>
  <si>
    <t>Отдельные мероприятия по другим видам транспорта</t>
  </si>
  <si>
    <t>Субсидирование социально-значимых пассажирских перевозок</t>
  </si>
  <si>
    <t>240</t>
  </si>
  <si>
    <t>Безвозмездные и безвозвратные перечисления  организациям, за исключением государственных и муниципальных организаций (пассажирские перевозки)</t>
  </si>
  <si>
    <t>24 4 2139</t>
  </si>
  <si>
    <t>МП "Ремонт и содержание дорог общего пользования местного значения в муниципальном образовании "Посёлок Чернышевский Мирнинского района Республики Саха (Якутия) на 2014-2016 годы"</t>
  </si>
  <si>
    <t>0409</t>
  </si>
  <si>
    <t>88 5 00 1001 0</t>
  </si>
  <si>
    <t>Иные работы и услуги (ремонт дорог) МБ</t>
  </si>
  <si>
    <t>Иные работы и услуги (ремонт дорог) МБТ</t>
  </si>
  <si>
    <t>Содержание дорог</t>
  </si>
  <si>
    <t>Паспортизация дорог</t>
  </si>
  <si>
    <t>Установка дорожных знаков</t>
  </si>
  <si>
    <t>ЦП " Развитие предпринимательства в посёлке Чернышевский на 2012-2016 годы"</t>
  </si>
  <si>
    <t>0412</t>
  </si>
  <si>
    <t>Мероприятия в области предпринимательства</t>
  </si>
  <si>
    <t>Мероприятия по землеустройству и землепользованию</t>
  </si>
  <si>
    <t>Иные работы и услуги (оформление кадастровых паспортов)</t>
  </si>
  <si>
    <t>99 8 2478</t>
  </si>
  <si>
    <t>24</t>
  </si>
  <si>
    <t>ЖИЛИЩНО-КОММУНАЛЬНОЕ ХОЗЯЙСТВО</t>
  </si>
  <si>
    <t>0500</t>
  </si>
  <si>
    <t>Поддержка коммунального хозяйства</t>
  </si>
  <si>
    <t>0501</t>
  </si>
  <si>
    <t>69 7 00 1001 0</t>
  </si>
  <si>
    <t>Текущий и капитальный ремонт жилфонда (ремонт свайного поля МБТ)</t>
  </si>
  <si>
    <t>99 8 2518</t>
  </si>
  <si>
    <t>Текущий и капитальный ремонт жилфонда (ремонт кровли МБТ)</t>
  </si>
  <si>
    <t>Средства бюджета на софинансирование Республиканской адресной программы "Переселение граждан из аварийного жилищного фонда с учетом необходимости развития малоэтажного строительства 2013-2015гг." (МБТ)</t>
  </si>
  <si>
    <t>99 8 2519</t>
  </si>
  <si>
    <t>99 5 00 9101 1</t>
  </si>
  <si>
    <t>69 7 00 1003 0</t>
  </si>
  <si>
    <t>Текущий и капитальный ремонт муниципального жилого фонда (МБТ)</t>
  </si>
  <si>
    <t>Региональная программа капитального ремонта общего имущества в многоквартирных домах, расположенных на территории Республики Саха (Якутия)  (взнос на капитальный ремонт, доля собственников)</t>
  </si>
  <si>
    <t>Компенсация собственникам квартир (Якутскэнерго)</t>
  </si>
  <si>
    <t>Программа по энергосбережению и повышению энергетической эффективности (Бюджет РС (Я)</t>
  </si>
  <si>
    <t>91 6 00 6242 0</t>
  </si>
  <si>
    <t>Программа по энергосбережению и повышению энергетической эффективности (Установка энергосберегающих светильников в МКД) (МБТ)</t>
  </si>
  <si>
    <t>91 6 00 S242 0</t>
  </si>
  <si>
    <t>68 4 00 S400 2</t>
  </si>
  <si>
    <t>Проведение экспертизы признания домов аварийными</t>
  </si>
  <si>
    <t>1132</t>
  </si>
  <si>
    <t>Компенсация собственникам квартир (МБТ)</t>
  </si>
  <si>
    <t>68 4 00 S400 1</t>
  </si>
  <si>
    <t>414</t>
  </si>
  <si>
    <t>1118</t>
  </si>
  <si>
    <t>Приобретение жилья у застройщика (строительство МКД)</t>
  </si>
  <si>
    <t>68 4 9503</t>
  </si>
  <si>
    <t>68 4 9603</t>
  </si>
  <si>
    <t>Приобретение жилья у застройщика (строительство МКД) Этап 2016г. Средства Фонда</t>
  </si>
  <si>
    <t>68 4 00 0950 2</t>
  </si>
  <si>
    <t>68 4 00 0960 2</t>
  </si>
  <si>
    <t>Софинансирование на реконструкцию и модернизацию электрокотельной № 12 кв-л Энтузиастов (МБТ)</t>
  </si>
  <si>
    <t>91 8 00 1002 0</t>
  </si>
  <si>
    <t>Программа по энергосбережению и повышению энергетической эффективности (Бюджет РС(Я)</t>
  </si>
  <si>
    <t>1151</t>
  </si>
  <si>
    <t>Благоустройство территории поселка</t>
  </si>
  <si>
    <t>0503</t>
  </si>
  <si>
    <t>Иные работы и услуги (благоустройство)</t>
  </si>
  <si>
    <t>Приобретение материалов</t>
  </si>
  <si>
    <t>1112</t>
  </si>
  <si>
    <t>Иные работы и услуги (озеленение)</t>
  </si>
  <si>
    <t>99 8 2531</t>
  </si>
  <si>
    <t>85 9 6336</t>
  </si>
  <si>
    <t>69 8 00 6210 С</t>
  </si>
  <si>
    <t>Снос строений (МБТ)</t>
  </si>
  <si>
    <t>Устройство уличного освещения (МБТ)</t>
  </si>
  <si>
    <t>69 8 00 1000 1</t>
  </si>
  <si>
    <t>Иные работы и услуги (содержание и обслуживание уличного освещения)</t>
  </si>
  <si>
    <t>Услуги по содержанию имущесства (Содержание и обслуживание мест захоронения)</t>
  </si>
  <si>
    <t xml:space="preserve">69 8 00 S210 C </t>
  </si>
  <si>
    <t>МЦП "Социальная поддержка населения МО "Посёлок Чернышевский" на 2013-2017 годы" захоронение безродных</t>
  </si>
  <si>
    <t>ВЦП "Утилизация и переработка отходов производства и потребления на территории МО Мирнинский район" (МБТ)</t>
  </si>
  <si>
    <t>69 8 00 1000 6</t>
  </si>
  <si>
    <t>МЦП "Чернышевский, доброжелательный к детям на 2013-2016 гг"</t>
  </si>
  <si>
    <t>65 5 00 7050 0</t>
  </si>
  <si>
    <t>МУ "УЖКХ"</t>
  </si>
  <si>
    <t>0505</t>
  </si>
  <si>
    <t>99 5 009100 9</t>
  </si>
  <si>
    <t>111</t>
  </si>
  <si>
    <t>112</t>
  </si>
  <si>
    <t>Прочие трансферты населению (проезд в отпуск)</t>
  </si>
  <si>
    <t>119</t>
  </si>
  <si>
    <t>Командировки и служебные разъезды (оплата транспортных расходов)</t>
  </si>
  <si>
    <t xml:space="preserve">          </t>
  </si>
  <si>
    <t>Другие расходы по содержанию имущества</t>
  </si>
  <si>
    <t>Иные работы и услуги (охрана труда)</t>
  </si>
  <si>
    <t>Налог на имущество</t>
  </si>
  <si>
    <t>Образование</t>
  </si>
  <si>
    <t>0700</t>
  </si>
  <si>
    <t>ЦП " Развитие молодёжной политики МО "Посёлок Чернышевский"</t>
  </si>
  <si>
    <t>0707</t>
  </si>
  <si>
    <t>Мероприятия в области молодёжной политики</t>
  </si>
  <si>
    <t>Организация труда студентов в летний период (МБТ)</t>
  </si>
  <si>
    <t>73 3 00 1102 1</t>
  </si>
  <si>
    <t>Просие расходные материалы и предметы снабжения ( в части расходных материалов)</t>
  </si>
  <si>
    <t>КУЛЬТУРА И СРЕДСТВА МАССОВОЙ ИНФОРМАЦИИ</t>
  </si>
  <si>
    <t>0800</t>
  </si>
  <si>
    <t>МЦП "Сохранение, поддержка и развитие сферы культуры МО "Посёлок Чернышевский" Мирнинского района РС (Якутия) на 2014-2017 годы"</t>
  </si>
  <si>
    <t>0801</t>
  </si>
  <si>
    <t>Дворцы и дома культуры, другие учреждения культуры</t>
  </si>
  <si>
    <t>Обеспечение деятельности подведомственных учреждений</t>
  </si>
  <si>
    <t>74 2 00 2200 1</t>
  </si>
  <si>
    <t>Командировки и служебные разъезды (суточные)</t>
  </si>
  <si>
    <t xml:space="preserve">Оплата отопления и технологических нужд </t>
  </si>
  <si>
    <t>Оплата потребления электрической энергии</t>
  </si>
  <si>
    <t>Коммунальные услуги (возмещение расходов по ЦДОД, ДШИ)</t>
  </si>
  <si>
    <t>Содержание в чистоте помещений, зданий, дворов</t>
  </si>
  <si>
    <t>Ремонт и обслуживание ПК</t>
  </si>
  <si>
    <t>Командирововчные расходы (проживание)</t>
  </si>
  <si>
    <t>Установка, наладка, монтаж охранной, пожарной сигнализации, локально-вычислительных сетей, систем видеонаблюдния, контроля доступа и другие монтажные работы</t>
  </si>
  <si>
    <t>Услуги вневедомственной и ведомственной охраны</t>
  </si>
  <si>
    <t>Программно-информационное обеспечение</t>
  </si>
  <si>
    <t>Оплата услуг по проведению мероприятий</t>
  </si>
  <si>
    <t>1138</t>
  </si>
  <si>
    <t>Курсы повышения квалификации</t>
  </si>
  <si>
    <t>Налог за негативное воздействие на окружающую среду</t>
  </si>
  <si>
    <t>Оплата за негативное воздействие на окружающую среду</t>
  </si>
  <si>
    <t>Оплата пеней, штрафов</t>
  </si>
  <si>
    <t>Приобретение призовой и наградной продукции</t>
  </si>
  <si>
    <t xml:space="preserve">Прочие расходные материалы и предметы снабжения (в части предметов со сроком полезного использования более 12 месяцев) </t>
  </si>
  <si>
    <t>Приобретение мягкого инвентаря</t>
  </si>
  <si>
    <t>1117</t>
  </si>
  <si>
    <t>Городские мероприятия МЦП "Сохранение, поддержка и развитие сферы культуры МО "Посёлок Чернышевский" Мирнинского района РС (Якутия) на 2014-2017 годы"</t>
  </si>
  <si>
    <t>Прочие услуги (оплата услуг артистов)</t>
  </si>
  <si>
    <t xml:space="preserve">Прочие расходные материалы и предметы снабжения  </t>
  </si>
  <si>
    <t>СПОРТ И ФИЗИЧЕСКАЯ КУЛЬТУРА</t>
  </si>
  <si>
    <t>1100</t>
  </si>
  <si>
    <t>Физкультурно-оздоровительная работа и спортивные мероприятия</t>
  </si>
  <si>
    <t>Безвозмездные перечисления организациям</t>
  </si>
  <si>
    <t>Безвозмездные перечисления государственным и муниципальным организациям (субсидии на выполнение муниципального задания организация предоставления общедоступного и бесплатного посещения спортивных объектов)</t>
  </si>
  <si>
    <t>611</t>
  </si>
  <si>
    <t>241</t>
  </si>
  <si>
    <t>17000</t>
  </si>
  <si>
    <t>Безвозмездные перечисления государственным и муниципальным организациям (субсидии на выполнение муниципального задания организация и проведение СММ)</t>
  </si>
  <si>
    <t>98 2 00 1008 0</t>
  </si>
  <si>
    <t>Безвозмездные перечисления государственным и муниципальным организациям (ГТО)</t>
  </si>
  <si>
    <t>Безвозмездные перечисления государственным и муниципальным организациям (СММ)</t>
  </si>
  <si>
    <t>Безвозмездные перечисления государственным и муниципальным организациям (субсидии на выполнение муниципального задания проезд в отпуск)</t>
  </si>
  <si>
    <t>612</t>
  </si>
  <si>
    <t>0095</t>
  </si>
  <si>
    <t>99 5 00 9101 4</t>
  </si>
  <si>
    <t>0092</t>
  </si>
  <si>
    <t>Реконструкция ФОК "Каскад"</t>
  </si>
  <si>
    <t>99 8 4036</t>
  </si>
  <si>
    <t>Приобретение спортинвентаря</t>
  </si>
  <si>
    <t>99 8 2543</t>
  </si>
  <si>
    <t>0067</t>
  </si>
  <si>
    <t>Социальная политика</t>
  </si>
  <si>
    <t>1000</t>
  </si>
  <si>
    <t>Муниципальные доплаты к пенсии</t>
  </si>
  <si>
    <t>1001</t>
  </si>
  <si>
    <t>312</t>
  </si>
  <si>
    <t>Социальное обеспечение населения</t>
  </si>
  <si>
    <t>1003</t>
  </si>
  <si>
    <t>МЦП "Социальная поддержка населения" МО "Посёлок Чернышевский" на 2013-2017 годы"</t>
  </si>
  <si>
    <t>0000</t>
  </si>
  <si>
    <t>Транспортные расходы</t>
  </si>
  <si>
    <t>Пособия по социальной помощи населению</t>
  </si>
  <si>
    <t>262</t>
  </si>
  <si>
    <t>1141</t>
  </si>
  <si>
    <t>Прочие расходы (сувенирная и наградная продукция)</t>
  </si>
  <si>
    <t>МЦП "Чернышевский, доброжелательный к детям на 2013-2017 годы"</t>
  </si>
  <si>
    <t>99 5 00 9101 2</t>
  </si>
  <si>
    <t>Межбюджетные трансферты</t>
  </si>
  <si>
    <t>Уплата процентов за использование бюджетного кредита в доход бюджета МО "Мирнинский район"</t>
  </si>
  <si>
    <t>1301</t>
  </si>
  <si>
    <t>99 5 00 9101 5</t>
  </si>
  <si>
    <t>730</t>
  </si>
  <si>
    <t>231</t>
  </si>
  <si>
    <t>Безвозмездные и безвозвратные перечисления бюджетам</t>
  </si>
  <si>
    <t>1403</t>
  </si>
  <si>
    <t>99 6  00 8851 0</t>
  </si>
  <si>
    <t>540</t>
  </si>
  <si>
    <t>250</t>
  </si>
  <si>
    <t>Перечисления другим бюджетам бюджетной системы РФ</t>
  </si>
  <si>
    <t>251</t>
  </si>
  <si>
    <t>Субвенции на осуществление части полномочий по решению вопросов местного значения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</si>
  <si>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Содержание специалиста по архитектуре</t>
  </si>
  <si>
    <t>Содержание специалиста по архивному делу</t>
  </si>
  <si>
    <t>КСП</t>
  </si>
  <si>
    <t>Финорган</t>
  </si>
  <si>
    <t>Итого расходов</t>
  </si>
  <si>
    <t>Презд в отпуск</t>
  </si>
  <si>
    <t>Софинансирование расходных обязательств по реализации мероприятий комплексного развития МО (установка опор уличного освещения)</t>
  </si>
  <si>
    <t>Софинансирование расходных обязательств по реализации мероприятий комплексного развития МО (установка детских площадок)</t>
  </si>
  <si>
    <t>ПИР "Ремонт системы отопления в здании Администрации с установкой узла учёта" (МБТ)</t>
  </si>
  <si>
    <t>Покраска фасадов 3-х деревянных МКД (МБТ)</t>
  </si>
  <si>
    <t>ВЦП "Переселение граждан из ветхого и аварийного жилья"</t>
  </si>
  <si>
    <t>к решению сессии ЧПСД</t>
  </si>
  <si>
    <t>Приобретение жилья у застройщика (строительство МКД) этап 2014 г. средства Фонда</t>
  </si>
  <si>
    <t>Прочие компенсации</t>
  </si>
  <si>
    <t>1124</t>
  </si>
  <si>
    <t>812</t>
  </si>
  <si>
    <t>Иные работы и услуги (технологическое присоединение электросетей к строящемуся МКД) МБТ</t>
  </si>
  <si>
    <t>Иные работы и услуги (планирование и межевание территории) МБТ</t>
  </si>
  <si>
    <t>Проведение экспертизы объекта незавершенного строительства (МБТ)</t>
  </si>
  <si>
    <t>Средства бюджета на софинансирование Республиканской адресной программы "Переселение граждан из аварийного жилищного фонда с учетом необходимости развития малоэтажного строительства 2013-2017гг." (МБТ).Этап 2015г.</t>
  </si>
  <si>
    <t>811</t>
  </si>
  <si>
    <t>68 4 00 1001 0</t>
  </si>
  <si>
    <t>ВЦП "Переселение граждан из ветхого и аварийного жилья", приобретение квартир (МБТ)</t>
  </si>
  <si>
    <t>ВЦП "Переселение граждан из ветхого и аварийного жилья", выплата компенсации за жилые помещения (МБТ)</t>
  </si>
  <si>
    <t>Текущий ремонт лестничного марша, помещений и кабинетов МБТ</t>
  </si>
  <si>
    <t>Проведение экспертизы МКД и ПДУ в целях признания жилых домов аварийными, подлежащими сносу (МБТ)</t>
  </si>
  <si>
    <t>Охрана окружающей среды</t>
  </si>
  <si>
    <t>0605</t>
  </si>
  <si>
    <t>Иные работы и услуги (ремонт дорог) РБ</t>
  </si>
  <si>
    <t>1142</t>
  </si>
  <si>
    <t>88 5 00 6213 С</t>
  </si>
  <si>
    <t>Уплата налога за негативное воздействие на окружающую среду, налог на имущество</t>
  </si>
  <si>
    <t>Прочие услуги (разработка проектов Программ транспортной инфраструктуры) МБТ</t>
  </si>
  <si>
    <t>Иные работы и услуги (минерализованная полоса) МБТ</t>
  </si>
  <si>
    <t>Иные работы (нотариальные действия)</t>
  </si>
  <si>
    <t>Содержание дорог (ПКР)</t>
  </si>
  <si>
    <t>Софинансирование расходных обязательств по реализации мероприятий комплексного развития МО (озеленение площадей)</t>
  </si>
  <si>
    <t>Услуги по содержанию имущества (содержание и обслуживание уличного освещения) софинансирование</t>
  </si>
  <si>
    <t>95 2 00 6502 0</t>
  </si>
  <si>
    <t>Ремонт муниципальных квартир для последующего расселения жителей, снос жилого дома кв-л Энтузиастов, д.19</t>
  </si>
  <si>
    <t>Ремонт муниципальных квартир для последующего расселения жителей, снос жилого дома кв-л Энтузиастов, д.20</t>
  </si>
  <si>
    <t>Прочие расходы (мероприятия АМО)</t>
  </si>
  <si>
    <t>Иные виды социальной помощи (непрограммные расходы)</t>
  </si>
  <si>
    <t>Установка детского комплекса на территории КОЦ (МБТ)</t>
  </si>
  <si>
    <t xml:space="preserve">Прочие расходные материалы и предметы снабжения (продукты питания) </t>
  </si>
  <si>
    <t>Прочие расходные материалы и предметы снабжения (стройматериалы)</t>
  </si>
  <si>
    <t>412</t>
  </si>
  <si>
    <t>99 5 00 9101 3</t>
  </si>
  <si>
    <t>КУЛЬТУРА И СРЕДСТВА МАССОВОЙ ИНФОРМАЦИИ (Администрация)</t>
  </si>
  <si>
    <t>323</t>
  </si>
  <si>
    <t>Ремонт  здания Администрации  (МБТ)</t>
  </si>
  <si>
    <t xml:space="preserve">Иные работы и услуги (отлов безнадзорных животных) </t>
  </si>
  <si>
    <t>99 5 00 9100 5</t>
  </si>
  <si>
    <t>Уплата пени</t>
  </si>
  <si>
    <t>Оказание материальной помощи</t>
  </si>
  <si>
    <t xml:space="preserve">Приобретение продуктов питания </t>
  </si>
  <si>
    <t>Приобретение прочих материальных запасов</t>
  </si>
  <si>
    <t>Иные работы и услуги (приобретение информационных табличек) софинансирование ПКР</t>
  </si>
  <si>
    <t>Иные работы и услуги (установка информационных табличек) софинансирование ПКР</t>
  </si>
  <si>
    <t>Заработная плата (РБ)</t>
  </si>
  <si>
    <t>99 6 00 6245 0</t>
  </si>
  <si>
    <t>Начисления на оплату труда (РБ)</t>
  </si>
  <si>
    <t>99 6 00 6336 0</t>
  </si>
  <si>
    <t>18 6 00 1003 0</t>
  </si>
  <si>
    <t>18 5 00 1001 0</t>
  </si>
  <si>
    <t>Изготовление технических планов и проведение кадастровых работ (паспортизация) автомобильных дорог (МБТ)</t>
  </si>
  <si>
    <t>99 5 00 9100 8</t>
  </si>
  <si>
    <t>Ремонт и содержание дорог</t>
  </si>
  <si>
    <t>26 3 00 1001 0</t>
  </si>
  <si>
    <t>20 3 00 S400 3</t>
  </si>
  <si>
    <t>23 2 00 1003 0</t>
  </si>
  <si>
    <t>23 2 00 1001 0</t>
  </si>
  <si>
    <t>Снос 10 деревянных одноэтажных аварийных ПД и ПДУ (МБТ)</t>
  </si>
  <si>
    <t>Снос 2 деревянных двухэтажных многоквартирных домов квартала Аэропорта (МБТ)</t>
  </si>
  <si>
    <t>Снос аварийного нежилого дома (бывшее здание полиции) МБТ</t>
  </si>
  <si>
    <t>Ремонт ливневых стоков вдоль ул. Гидростроителей (МБТ)</t>
  </si>
  <si>
    <t>29 3 00 1001 0</t>
  </si>
  <si>
    <t>11 2 00 1102 0</t>
  </si>
  <si>
    <t>10 1 00 2200 1</t>
  </si>
  <si>
    <t>10 7 00 1000 1</t>
  </si>
  <si>
    <t>10 2 00 1000 2</t>
  </si>
  <si>
    <t>14 1 00 2200 1</t>
  </si>
  <si>
    <t>14 2 00 1002 0</t>
  </si>
  <si>
    <t>14 2 00 1001 0</t>
  </si>
  <si>
    <t>99 5 00 7102 0</t>
  </si>
  <si>
    <t>15 3 00 1001 0</t>
  </si>
  <si>
    <t>15 3 00 7102 0</t>
  </si>
  <si>
    <t>99 5 00 1101 0</t>
  </si>
  <si>
    <t>Прочие услуги (разработка проектов Программы комплексного развития социальной инфраструктуры) МБТ</t>
  </si>
  <si>
    <t>МЦП "Поддержка общественных и гражданских инициатив Мирнинского района на 2017-2019 годы " (Приобретение детского комплекса) (МБТ)</t>
  </si>
  <si>
    <t>99 5 00 9100 7</t>
  </si>
  <si>
    <t>Охрана окружающей среды, утилизация и переработка отходов производства и потребления на территории МО "Мирнинский район" на период 2013-2019 годы"</t>
  </si>
  <si>
    <t>15 5 00 1001 0</t>
  </si>
  <si>
    <t>1119</t>
  </si>
  <si>
    <t>Переселение граждан из аварийного жилищного фонда (снос строений) МБТ</t>
  </si>
  <si>
    <t>23 2 00 1009 0</t>
  </si>
  <si>
    <t>224</t>
  </si>
  <si>
    <t>Иные расходы</t>
  </si>
  <si>
    <t>Приобретение основных средств</t>
  </si>
  <si>
    <t>Приобретение медикаментов и перевязочных средств</t>
  </si>
  <si>
    <t>Приобретение продуктов питания</t>
  </si>
  <si>
    <t xml:space="preserve"> Использование линий электропередач</t>
  </si>
  <si>
    <t>Выполнение работ по зимнему содержанию тротуаров и площадей</t>
  </si>
  <si>
    <t>Снос 2-х деревянных домов кв-л Энтузиастов № 12, 30</t>
  </si>
  <si>
    <t>18-365/1101</t>
  </si>
  <si>
    <t>18-365/1116</t>
  </si>
  <si>
    <t>18-365/1123</t>
  </si>
  <si>
    <t>18-783</t>
  </si>
  <si>
    <t>Реконструкция и модернизация электрокотельной № 12 кв-л Энтузиастов (МБТ)</t>
  </si>
  <si>
    <t>Выполнение работ по расчистке лестниц и переходов</t>
  </si>
  <si>
    <t xml:space="preserve">Иные работы и услуги (содержание кладбища) </t>
  </si>
  <si>
    <t>Приобретение деревянной горки</t>
  </si>
  <si>
    <t>Формирование современной городской среды (МБТ)</t>
  </si>
  <si>
    <t>296</t>
  </si>
  <si>
    <t>291</t>
  </si>
  <si>
    <t>292</t>
  </si>
  <si>
    <t>295</t>
  </si>
  <si>
    <t>1147</t>
  </si>
  <si>
    <t>Расходы на исполнение судебных решений о взыскании из бюджета по искам юридических и физических лиц (основной долг)</t>
  </si>
  <si>
    <t>Расходы на исполнение судебных решений о взыскании из бюджета по искам юридических и физических лиц (госпошлина)</t>
  </si>
  <si>
    <t>Расходы на исполнение судебных решений о взыскании из бюджета по искам юридических и физических лиц (пени)</t>
  </si>
  <si>
    <t>99 5 00 9101 9</t>
  </si>
  <si>
    <t>Устройство детской игровой площадки на территории КОЦ (возврат 2017 года)</t>
  </si>
  <si>
    <t>За счет дополнительных доходов</t>
  </si>
  <si>
    <t>18-365/1104</t>
  </si>
  <si>
    <t>100</t>
  </si>
  <si>
    <t>Установка опор уличного освещения (МБТ)</t>
  </si>
  <si>
    <t>1116/18-Б98</t>
  </si>
  <si>
    <t>Устройство узла учета тепловой энергии ФОК "Каскад" (МБТ)</t>
  </si>
  <si>
    <t>Прочие компенсации (льгота по ком.услугам) МБТ</t>
  </si>
  <si>
    <t>Другие расходы по содержанию имущества (устройство узла тепловой энергии) МБТ</t>
  </si>
  <si>
    <t>Другие расходы по содержанию имущества (замена фильтров водоочистной станции)</t>
  </si>
  <si>
    <t>Иные работы и услуги (зимнее содержание площадей, тротуаров, детских площадок) МБТ</t>
  </si>
  <si>
    <t>10 7 00 L467 0</t>
  </si>
  <si>
    <t>Другие расходы по содержанию имущества (замена фильтров водоочистной станции) МБТ</t>
  </si>
  <si>
    <t>МЦП "Развитие физической культуры и спорта на территории муниципального образования "Посёлок Чернышевский" Мирнинского района Республики Саха (Якутия) на 2018-2020 годы"</t>
  </si>
  <si>
    <t>Штрафы</t>
  </si>
  <si>
    <t>Уплата пеней по решению суда</t>
  </si>
  <si>
    <t>За счет  РБ</t>
  </si>
  <si>
    <t>99 5 00 6245 0</t>
  </si>
  <si>
    <t>99 5 00 S245 0</t>
  </si>
  <si>
    <t>14 2 00 6245 0</t>
  </si>
  <si>
    <t>14 2 00 6272 0</t>
  </si>
  <si>
    <t>14 2 00 S245 0</t>
  </si>
  <si>
    <t>14 2 00 S272 0</t>
  </si>
  <si>
    <t>Заработная плата (Софинансирование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экономики)</t>
  </si>
  <si>
    <t>10 2 00 6245 0</t>
  </si>
  <si>
    <t>Заработная плата (Софинансирование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экономики)</t>
  </si>
  <si>
    <t>10 2 00 6272 0</t>
  </si>
  <si>
    <t>10 2 00 S245 0</t>
  </si>
  <si>
    <t>10 2 00 S272 0</t>
  </si>
  <si>
    <t>Начисления на оплату труда (Софинансирование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экономики)</t>
  </si>
  <si>
    <t>Начисления на оплату труда (Софинансирование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экономики)</t>
  </si>
  <si>
    <t>0502</t>
  </si>
  <si>
    <t>245</t>
  </si>
  <si>
    <t>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 (РБ)</t>
  </si>
  <si>
    <t>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 (РБ)</t>
  </si>
  <si>
    <t>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 (МБ)</t>
  </si>
  <si>
    <t>Софинансирование расходных обязательств по оказанию муниципальных услуг (выполнению муниципальных функций), в связи с увеличением минимального размера оплаты труда работников учреждений бюджетного сектора экономики (МБ)</t>
  </si>
  <si>
    <t>Выполнение работ по  содержанию тротуаров и площадей</t>
  </si>
  <si>
    <t>18-365/1136</t>
  </si>
  <si>
    <t>18-Б98</t>
  </si>
  <si>
    <t>18-Б98/1116</t>
  </si>
  <si>
    <t>Приобретение продуктов питания ко Дню пожилого человека</t>
  </si>
  <si>
    <t>За счет ФБ</t>
  </si>
  <si>
    <t>Выполнение работ по ремонту крылец в 2-х деревянных МКД кв-ла Энтузиастов д.№21, 13 (МБТ)</t>
  </si>
  <si>
    <t>Ремонт  здания Администрации (кабинет УЖКХ) (МБТ)</t>
  </si>
  <si>
    <t>Снос 20-ти брошенных полуразрушенных ПД и ПДУ (МБТ)</t>
  </si>
  <si>
    <t>Приобретение светильников (МБТ)</t>
  </si>
  <si>
    <t>Выполнение работ по проведению экспертизы МКД и жилых домов (в целях признания МКД аварийными)</t>
  </si>
  <si>
    <t>Содержание имущества</t>
  </si>
  <si>
    <t>99 5 00 9100 9</t>
  </si>
  <si>
    <t>Разработка плана межевания</t>
  </si>
  <si>
    <t>634</t>
  </si>
  <si>
    <t>346</t>
  </si>
  <si>
    <t>297</t>
  </si>
  <si>
    <t>349</t>
  </si>
  <si>
    <t>344</t>
  </si>
  <si>
    <t>214</t>
  </si>
  <si>
    <t>341</t>
  </si>
  <si>
    <t>342</t>
  </si>
  <si>
    <t>22 2 00 1005 0</t>
  </si>
  <si>
    <t>248</t>
  </si>
  <si>
    <t>20 4 00 1003 0</t>
  </si>
  <si>
    <t xml:space="preserve">Услуги по содержанию имущества (содержание и обслуживание уличного освещения) </t>
  </si>
  <si>
    <t>345</t>
  </si>
  <si>
    <t>264</t>
  </si>
  <si>
    <t>Командировочные расходы (проезд)</t>
  </si>
  <si>
    <t>Членский взнос для членов Совета муниципальных образований</t>
  </si>
  <si>
    <t>Выполнение работ по ремонту дорог местного значения</t>
  </si>
  <si>
    <t>Ремонт ливневых стоков вдоль ул. Каландарашвили (МБТ)</t>
  </si>
  <si>
    <t>Иные работы и услуги ( содержание площадей, тротуаров, детских площадок) МБТ</t>
  </si>
  <si>
    <t>2 квар.</t>
  </si>
  <si>
    <t>3 квар.</t>
  </si>
  <si>
    <t>4 квар.</t>
  </si>
  <si>
    <t>5 квар.</t>
  </si>
  <si>
    <t>6 квар.</t>
  </si>
  <si>
    <t>7 квар.</t>
  </si>
  <si>
    <t>8 квар.</t>
  </si>
  <si>
    <t>9 квар.</t>
  </si>
  <si>
    <t>10 квар.</t>
  </si>
  <si>
    <t>11 квар.</t>
  </si>
  <si>
    <t>12 квар.</t>
  </si>
  <si>
    <t>13 квар.</t>
  </si>
  <si>
    <t>14 квар.</t>
  </si>
  <si>
    <t>15 квар.</t>
  </si>
  <si>
    <t>16 квар.</t>
  </si>
  <si>
    <t>17 квар.</t>
  </si>
  <si>
    <t>18 квар.</t>
  </si>
  <si>
    <t>19 квар.</t>
  </si>
  <si>
    <t>20 квар.</t>
  </si>
  <si>
    <t>21 квар.</t>
  </si>
  <si>
    <t>2 мес</t>
  </si>
  <si>
    <t>Примечание</t>
  </si>
  <si>
    <t>1 полугодие</t>
  </si>
  <si>
    <t>1 квартал</t>
  </si>
  <si>
    <t>Бюджет 2019 год</t>
  </si>
  <si>
    <t xml:space="preserve">Бюджет МО "Посёлок Чернышевский" Мирнинского района Республики Саха (Якутия) по расходной части на 2019 год 
</t>
  </si>
  <si>
    <t xml:space="preserve">Бюджет на 2019 год </t>
  </si>
  <si>
    <t>1.</t>
  </si>
  <si>
    <t>2.</t>
  </si>
  <si>
    <t>По Соглашению № 545/18 от 24.07.2018г. уплата по кредиту:</t>
  </si>
  <si>
    <t>По Соглашению № 380/18 от 21.05.2018г. уплата по кредиту:</t>
  </si>
  <si>
    <t>3.</t>
  </si>
  <si>
    <t>расходные материалы</t>
  </si>
  <si>
    <t>в т.ч.: командировочные расходы, услуги связи, приобретение расходных материалов, услуги в области информационных технологий</t>
  </si>
  <si>
    <t>в т.ч.: автотранспортные услуги, услуги по содержанию имущества, нотариат, представительские расходы</t>
  </si>
  <si>
    <t>отлов безнадзорных животных</t>
  </si>
  <si>
    <t>пассажирские перевозки</t>
  </si>
  <si>
    <t>МЦП "Развитие предпринимательства в п.Чернышевский"</t>
  </si>
  <si>
    <t>взнос на капитальный ремонт</t>
  </si>
  <si>
    <t>Содежание имущества, услуги связи</t>
  </si>
  <si>
    <t>Городские мероприятия (юбилейные мероприятия)</t>
  </si>
  <si>
    <t>содержание дорог</t>
  </si>
  <si>
    <t>содержание уличного освещения, содержание мест захоронения</t>
  </si>
  <si>
    <t>МЦП "Развитие молодежной политики в МО "Посёлок Чернышевский"</t>
  </si>
  <si>
    <t>в т.ч.: содержание имущества, автотранспортные услуги, ГТО</t>
  </si>
  <si>
    <t>Итого:</t>
  </si>
  <si>
    <t>Потребность до 31.12.2019 года</t>
  </si>
  <si>
    <t>Аналитическая  записка</t>
  </si>
  <si>
    <r>
      <t xml:space="preserve">Разбалансировка бюджета на сумму </t>
    </r>
    <r>
      <rPr>
        <b/>
        <sz val="11"/>
        <color theme="1"/>
        <rFont val="Times New Roman"/>
        <family val="1"/>
        <charset val="204"/>
      </rPr>
      <t>1 066 566,46 руб</t>
    </r>
    <r>
      <rPr>
        <sz val="11"/>
        <color theme="1"/>
        <rFont val="Times New Roman"/>
        <family val="1"/>
        <charset val="204"/>
      </rPr>
      <t xml:space="preserve">., в связи с уплатой кредита в размере </t>
    </r>
    <r>
      <rPr>
        <b/>
        <sz val="11"/>
        <color theme="1"/>
        <rFont val="Times New Roman"/>
        <family val="1"/>
        <charset val="204"/>
      </rPr>
      <t>2 600 000,00 руб</t>
    </r>
    <r>
      <rPr>
        <sz val="11"/>
        <color theme="1"/>
        <rFont val="Times New Roman"/>
        <family val="1"/>
        <charset val="204"/>
      </rPr>
      <t xml:space="preserve">. и уменьшением дефецита бюджета на остаток </t>
    </r>
    <r>
      <rPr>
        <b/>
        <sz val="11"/>
        <color theme="1"/>
        <rFont val="Times New Roman"/>
        <family val="1"/>
        <charset val="204"/>
      </rPr>
      <t>369 762, 35</t>
    </r>
    <r>
      <rPr>
        <sz val="11"/>
        <color theme="1"/>
        <rFont val="Times New Roman"/>
        <family val="1"/>
        <charset val="204"/>
      </rPr>
      <t xml:space="preserve"> руб. (остаток собственных средств </t>
    </r>
    <r>
      <rPr>
        <b/>
        <sz val="11"/>
        <color theme="1"/>
        <rFont val="Times New Roman"/>
        <family val="1"/>
        <charset val="204"/>
      </rPr>
      <t>1 065 592,53 руб.</t>
    </r>
    <r>
      <rPr>
        <sz val="11"/>
        <color theme="1"/>
        <rFont val="Times New Roman"/>
        <family val="1"/>
        <charset val="204"/>
      </rPr>
      <t xml:space="preserve">, планируемый дефицит на 01.01.2019г. </t>
    </r>
    <r>
      <rPr>
        <b/>
        <sz val="11"/>
        <color theme="1"/>
        <rFont val="Times New Roman"/>
        <family val="1"/>
        <charset val="204"/>
      </rPr>
      <t>1 435 354,88 руб</t>
    </r>
    <r>
      <rPr>
        <sz val="11"/>
        <color theme="1"/>
        <rFont val="Times New Roman"/>
        <family val="1"/>
        <charset val="204"/>
      </rPr>
      <t>.)</t>
    </r>
  </si>
  <si>
    <r>
      <rPr>
        <b/>
        <sz val="11"/>
        <color theme="1"/>
        <rFont val="Times New Roman"/>
        <family val="1"/>
        <charset val="204"/>
      </rPr>
      <t>2 072 214,44 руб</t>
    </r>
    <r>
      <rPr>
        <sz val="11"/>
        <color theme="1"/>
        <rFont val="Times New Roman"/>
        <family val="1"/>
        <charset val="204"/>
      </rPr>
      <t>. до 01.06.2018г.</t>
    </r>
  </si>
  <si>
    <r>
      <rPr>
        <b/>
        <sz val="11"/>
        <color theme="1"/>
        <rFont val="Times New Roman"/>
        <family val="1"/>
        <charset val="204"/>
      </rPr>
      <t>2 072 214,44 руб</t>
    </r>
    <r>
      <rPr>
        <sz val="11"/>
        <color theme="1"/>
        <rFont val="Times New Roman"/>
        <family val="1"/>
        <charset val="204"/>
      </rPr>
      <t>. до 01.11.2018г.</t>
    </r>
  </si>
  <si>
    <r>
      <rPr>
        <b/>
        <sz val="11"/>
        <color theme="1"/>
        <rFont val="Times New Roman"/>
        <family val="1"/>
        <charset val="204"/>
      </rPr>
      <t>1 400 000,00 руб.</t>
    </r>
    <r>
      <rPr>
        <sz val="11"/>
        <color theme="1"/>
        <rFont val="Times New Roman"/>
        <family val="1"/>
        <charset val="204"/>
      </rPr>
      <t xml:space="preserve"> до 28.02.2018г.</t>
    </r>
  </si>
  <si>
    <r>
      <t xml:space="preserve">Уплата по испольнительному листу АО "Теплоэнергосервис" на сумму </t>
    </r>
    <r>
      <rPr>
        <b/>
        <sz val="11"/>
        <color theme="1"/>
        <rFont val="Times New Roman"/>
        <family val="1"/>
        <charset val="204"/>
      </rPr>
      <t>4 016 417,75 руб. до 28.02.2019г.</t>
    </r>
  </si>
  <si>
    <t>содержание специалиста по архитектуре</t>
  </si>
  <si>
    <t>Командировки и служебные разъезды (проезд,проживание)</t>
  </si>
  <si>
    <t>Командировки и служебные разъезды ( суточные)</t>
  </si>
  <si>
    <t>Командирововчные расходы (проживание, проезд)</t>
  </si>
  <si>
    <t>Больничные листы</t>
  </si>
  <si>
    <t>266</t>
  </si>
  <si>
    <t>343</t>
  </si>
  <si>
    <t>19-365/1123</t>
  </si>
  <si>
    <t>19-365</t>
  </si>
  <si>
    <t>19-365/1104</t>
  </si>
  <si>
    <t>Ремонт  здания Администрации (ремонт левого крыла) (МБТ)</t>
  </si>
  <si>
    <t>Оформление дизайн-проектов дворовых территорий (ГП РС (Я) "Формирование современной городской среды")</t>
  </si>
  <si>
    <t>выполнение работ по благоустройству дворовых территорий в рамках Государственной прогаммы РС (Я) "Формирование современной городской среды"</t>
  </si>
  <si>
    <t>23 1 00 S257 1</t>
  </si>
  <si>
    <t>Приложение № 4</t>
  </si>
  <si>
    <t>№ IV-20-5 от 26.03.2019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</si>
</sst>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9"/>
      <name val="Arial Cyr"/>
      <family val="2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charset val="204"/>
    </font>
    <font>
      <b/>
      <sz val="9"/>
      <name val="Arial Cyr"/>
      <charset val="204"/>
    </font>
    <font>
      <sz val="10"/>
      <color rgb="FFFF0000"/>
      <name val="Arial Cyr"/>
      <family val="2"/>
      <charset val="204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b/>
      <sz val="10"/>
      <color indexed="8"/>
      <name val="Arial Cyr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 Cyr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9"/>
      <name val="Times New Roman"/>
      <family val="1"/>
      <charset val="204"/>
    </font>
    <font>
      <sz val="10"/>
      <name val="Arial"/>
      <family val="2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name val="Arial Cyr"/>
      <family val="2"/>
      <charset val="204"/>
    </font>
    <font>
      <sz val="1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rgb="FF00B050"/>
        <bgColor indexed="26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3" fillId="0" borderId="0"/>
    <xf numFmtId="0" fontId="25" fillId="0" borderId="0"/>
  </cellStyleXfs>
  <cellXfs count="552">
    <xf numFmtId="0" fontId="0" fillId="0" borderId="0" xfId="0"/>
    <xf numFmtId="0" fontId="4" fillId="2" borderId="0" xfId="1" applyFill="1"/>
    <xf numFmtId="0" fontId="4" fillId="2" borderId="1" xfId="1" applyFill="1" applyBorder="1" applyAlignment="1">
      <alignment vertical="center" wrapText="1"/>
    </xf>
    <xf numFmtId="0" fontId="6" fillId="2" borderId="2" xfId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4" fillId="2" borderId="2" xfId="1" applyNumberFormat="1" applyFill="1" applyBorder="1" applyAlignment="1">
      <alignment horizontal="center" vertical="center" wrapText="1"/>
    </xf>
    <xf numFmtId="0" fontId="4" fillId="2" borderId="6" xfId="1" applyFill="1" applyBorder="1" applyAlignment="1">
      <alignment vertical="center" wrapText="1"/>
    </xf>
    <xf numFmtId="0" fontId="6" fillId="2" borderId="7" xfId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/>
    </xf>
    <xf numFmtId="49" fontId="4" fillId="2" borderId="7" xfId="1" applyNumberFormat="1" applyFill="1" applyBorder="1" applyAlignment="1">
      <alignment horizontal="center"/>
    </xf>
    <xf numFmtId="4" fontId="7" fillId="2" borderId="10" xfId="1" applyNumberFormat="1" applyFont="1" applyFill="1" applyBorder="1" applyAlignment="1">
      <alignment horizontal="center" vertical="center" wrapText="1"/>
    </xf>
    <xf numFmtId="0" fontId="8" fillId="4" borderId="6" xfId="1" applyFont="1" applyFill="1" applyBorder="1" applyAlignment="1">
      <alignment vertical="center" wrapText="1"/>
    </xf>
    <xf numFmtId="0" fontId="9" fillId="4" borderId="7" xfId="1" applyFont="1" applyFill="1" applyBorder="1" applyAlignment="1">
      <alignment horizontal="center" vertical="center" wrapText="1"/>
    </xf>
    <xf numFmtId="49" fontId="9" fillId="4" borderId="7" xfId="1" applyNumberFormat="1" applyFont="1" applyFill="1" applyBorder="1" applyAlignment="1">
      <alignment horizontal="center"/>
    </xf>
    <xf numFmtId="49" fontId="8" fillId="4" borderId="7" xfId="1" applyNumberFormat="1" applyFont="1" applyFill="1" applyBorder="1" applyAlignment="1">
      <alignment horizontal="center"/>
    </xf>
    <xf numFmtId="4" fontId="8" fillId="5" borderId="7" xfId="1" applyNumberFormat="1" applyFont="1" applyFill="1" applyBorder="1"/>
    <xf numFmtId="0" fontId="8" fillId="6" borderId="6" xfId="1" applyFont="1" applyFill="1" applyBorder="1" applyAlignment="1">
      <alignment wrapText="1"/>
    </xf>
    <xf numFmtId="0" fontId="9" fillId="6" borderId="7" xfId="1" applyFont="1" applyFill="1" applyBorder="1" applyAlignment="1">
      <alignment horizontal="center" wrapText="1"/>
    </xf>
    <xf numFmtId="49" fontId="9" fillId="6" borderId="7" xfId="1" applyNumberFormat="1" applyFont="1" applyFill="1" applyBorder="1" applyAlignment="1">
      <alignment horizontal="center"/>
    </xf>
    <xf numFmtId="49" fontId="8" fillId="6" borderId="7" xfId="1" applyNumberFormat="1" applyFont="1" applyFill="1" applyBorder="1" applyAlignment="1">
      <alignment horizontal="center"/>
    </xf>
    <xf numFmtId="4" fontId="8" fillId="7" borderId="7" xfId="1" applyNumberFormat="1" applyFont="1" applyFill="1" applyBorder="1"/>
    <xf numFmtId="4" fontId="8" fillId="6" borderId="7" xfId="1" applyNumberFormat="1" applyFont="1" applyFill="1" applyBorder="1"/>
    <xf numFmtId="4" fontId="8" fillId="6" borderId="9" xfId="1" applyNumberFormat="1" applyFont="1" applyFill="1" applyBorder="1"/>
    <xf numFmtId="0" fontId="8" fillId="2" borderId="6" xfId="1" applyFont="1" applyFill="1" applyBorder="1" applyAlignment="1">
      <alignment vertical="center" wrapText="1"/>
    </xf>
    <xf numFmtId="0" fontId="9" fillId="2" borderId="7" xfId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/>
    </xf>
    <xf numFmtId="49" fontId="8" fillId="2" borderId="7" xfId="1" applyNumberFormat="1" applyFont="1" applyFill="1" applyBorder="1" applyAlignment="1">
      <alignment horizontal="center"/>
    </xf>
    <xf numFmtId="4" fontId="8" fillId="0" borderId="7" xfId="1" applyNumberFormat="1" applyFont="1" applyBorder="1"/>
    <xf numFmtId="4" fontId="8" fillId="2" borderId="7" xfId="1" applyNumberFormat="1" applyFont="1" applyFill="1" applyBorder="1"/>
    <xf numFmtId="4" fontId="8" fillId="2" borderId="9" xfId="1" applyNumberFormat="1" applyFont="1" applyFill="1" applyBorder="1"/>
    <xf numFmtId="49" fontId="10" fillId="2" borderId="7" xfId="1" applyNumberFormat="1" applyFont="1" applyFill="1" applyBorder="1" applyAlignment="1">
      <alignment horizontal="center"/>
    </xf>
    <xf numFmtId="4" fontId="4" fillId="0" borderId="7" xfId="1" applyNumberFormat="1" applyBorder="1"/>
    <xf numFmtId="4" fontId="4" fillId="2" borderId="7" xfId="1" applyNumberFormat="1" applyFill="1" applyBorder="1"/>
    <xf numFmtId="4" fontId="4" fillId="2" borderId="9" xfId="1" applyNumberFormat="1" applyFill="1" applyBorder="1"/>
    <xf numFmtId="0" fontId="8" fillId="6" borderId="6" xfId="1" applyFont="1" applyFill="1" applyBorder="1" applyAlignment="1">
      <alignment vertical="center" wrapText="1"/>
    </xf>
    <xf numFmtId="0" fontId="9" fillId="6" borderId="7" xfId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/>
    </xf>
    <xf numFmtId="4" fontId="4" fillId="2" borderId="0" xfId="1" applyNumberFormat="1" applyFill="1"/>
    <xf numFmtId="1" fontId="4" fillId="2" borderId="6" xfId="1" applyNumberFormat="1" applyFill="1" applyBorder="1" applyAlignment="1">
      <alignment vertical="center" wrapText="1"/>
    </xf>
    <xf numFmtId="1" fontId="6" fillId="2" borderId="7" xfId="1" applyNumberFormat="1" applyFont="1" applyFill="1" applyBorder="1" applyAlignment="1">
      <alignment horizontal="center" vertical="center" wrapText="1"/>
    </xf>
    <xf numFmtId="1" fontId="4" fillId="2" borderId="6" xfId="1" applyNumberFormat="1" applyFill="1" applyBorder="1" applyAlignment="1">
      <alignment wrapText="1"/>
    </xf>
    <xf numFmtId="1" fontId="6" fillId="2" borderId="7" xfId="1" applyNumberFormat="1" applyFont="1" applyFill="1" applyBorder="1" applyAlignment="1">
      <alignment horizontal="center" wrapText="1"/>
    </xf>
    <xf numFmtId="0" fontId="11" fillId="2" borderId="7" xfId="1" applyFont="1" applyFill="1" applyBorder="1" applyAlignment="1">
      <alignment horizontal="center" vertical="center" wrapText="1"/>
    </xf>
    <xf numFmtId="49" fontId="11" fillId="2" borderId="7" xfId="1" applyNumberFormat="1" applyFont="1" applyFill="1" applyBorder="1" applyAlignment="1">
      <alignment horizontal="center"/>
    </xf>
    <xf numFmtId="49" fontId="7" fillId="2" borderId="7" xfId="1" applyNumberFormat="1" applyFont="1" applyFill="1" applyBorder="1" applyAlignment="1">
      <alignment horizontal="center"/>
    </xf>
    <xf numFmtId="4" fontId="7" fillId="0" borderId="7" xfId="1" applyNumberFormat="1" applyFont="1" applyBorder="1"/>
    <xf numFmtId="4" fontId="7" fillId="2" borderId="7" xfId="1" applyNumberFormat="1" applyFont="1" applyFill="1" applyBorder="1"/>
    <xf numFmtId="4" fontId="7" fillId="2" borderId="9" xfId="1" applyNumberFormat="1" applyFont="1" applyFill="1" applyBorder="1"/>
    <xf numFmtId="0" fontId="7" fillId="2" borderId="6" xfId="1" applyFont="1" applyFill="1" applyBorder="1" applyAlignment="1">
      <alignment vertical="center" wrapText="1"/>
    </xf>
    <xf numFmtId="49" fontId="11" fillId="2" borderId="7" xfId="1" applyNumberFormat="1" applyFont="1" applyFill="1" applyBorder="1" applyAlignment="1">
      <alignment horizontal="center" vertical="center"/>
    </xf>
    <xf numFmtId="49" fontId="7" fillId="2" borderId="7" xfId="1" applyNumberFormat="1" applyFont="1" applyFill="1" applyBorder="1" applyAlignment="1">
      <alignment horizontal="center" vertical="center"/>
    </xf>
    <xf numFmtId="4" fontId="7" fillId="0" borderId="7" xfId="1" applyNumberFormat="1" applyFont="1" applyBorder="1" applyAlignment="1">
      <alignment vertical="center"/>
    </xf>
    <xf numFmtId="0" fontId="7" fillId="2" borderId="0" xfId="1" applyFont="1" applyFill="1"/>
    <xf numFmtId="0" fontId="4" fillId="8" borderId="6" xfId="1" applyFill="1" applyBorder="1" applyAlignment="1">
      <alignment vertical="center" wrapText="1"/>
    </xf>
    <xf numFmtId="4" fontId="4" fillId="0" borderId="7" xfId="1" applyNumberFormat="1" applyBorder="1" applyAlignment="1">
      <alignment horizontal="right"/>
    </xf>
    <xf numFmtId="4" fontId="4" fillId="2" borderId="10" xfId="1" applyNumberFormat="1" applyFill="1" applyBorder="1"/>
    <xf numFmtId="49" fontId="11" fillId="0" borderId="7" xfId="1" applyNumberFormat="1" applyFont="1" applyBorder="1" applyAlignment="1">
      <alignment horizontal="center" vertical="center"/>
    </xf>
    <xf numFmtId="49" fontId="9" fillId="8" borderId="7" xfId="1" applyNumberFormat="1" applyFont="1" applyFill="1" applyBorder="1" applyAlignment="1">
      <alignment horizontal="center" vertical="center"/>
    </xf>
    <xf numFmtId="49" fontId="10" fillId="0" borderId="7" xfId="1" applyNumberFormat="1" applyFont="1" applyBorder="1" applyAlignment="1">
      <alignment horizontal="center" vertical="center"/>
    </xf>
    <xf numFmtId="4" fontId="10" fillId="0" borderId="7" xfId="1" applyNumberFormat="1" applyFont="1" applyBorder="1" applyAlignment="1">
      <alignment horizontal="right"/>
    </xf>
    <xf numFmtId="0" fontId="13" fillId="8" borderId="6" xfId="1" applyFont="1" applyFill="1" applyBorder="1" applyAlignment="1">
      <alignment vertical="center" wrapText="1"/>
    </xf>
    <xf numFmtId="0" fontId="10" fillId="2" borderId="7" xfId="1" applyFont="1" applyFill="1" applyBorder="1" applyAlignment="1">
      <alignment horizontal="center" vertical="center" wrapText="1"/>
    </xf>
    <xf numFmtId="49" fontId="13" fillId="2" borderId="7" xfId="1" applyNumberFormat="1" applyFont="1" applyFill="1" applyBorder="1" applyAlignment="1">
      <alignment horizontal="center"/>
    </xf>
    <xf numFmtId="4" fontId="13" fillId="0" borderId="7" xfId="1" applyNumberFormat="1" applyFont="1" applyBorder="1"/>
    <xf numFmtId="4" fontId="13" fillId="2" borderId="7" xfId="1" applyNumberFormat="1" applyFont="1" applyFill="1" applyBorder="1"/>
    <xf numFmtId="0" fontId="13" fillId="2" borderId="0" xfId="1" applyFont="1" applyFill="1"/>
    <xf numFmtId="4" fontId="14" fillId="0" borderId="7" xfId="1" applyNumberFormat="1" applyFont="1" applyBorder="1"/>
    <xf numFmtId="4" fontId="14" fillId="2" borderId="7" xfId="1" applyNumberFormat="1" applyFont="1" applyFill="1" applyBorder="1"/>
    <xf numFmtId="2" fontId="8" fillId="6" borderId="6" xfId="1" applyNumberFormat="1" applyFont="1" applyFill="1" applyBorder="1" applyAlignment="1">
      <alignment vertical="center" wrapText="1"/>
    </xf>
    <xf numFmtId="49" fontId="9" fillId="6" borderId="7" xfId="1" applyNumberFormat="1" applyFont="1" applyFill="1" applyBorder="1" applyAlignment="1">
      <alignment horizontal="center" vertical="center" wrapText="1"/>
    </xf>
    <xf numFmtId="49" fontId="9" fillId="6" borderId="7" xfId="1" applyNumberFormat="1" applyFont="1" applyFill="1" applyBorder="1" applyAlignment="1">
      <alignment horizontal="center" vertical="center"/>
    </xf>
    <xf numFmtId="49" fontId="8" fillId="6" borderId="7" xfId="1" applyNumberFormat="1" applyFont="1" applyFill="1" applyBorder="1" applyAlignment="1">
      <alignment horizontal="center" vertical="center"/>
    </xf>
    <xf numFmtId="2" fontId="9" fillId="6" borderId="7" xfId="1" applyNumberFormat="1" applyFont="1" applyFill="1" applyBorder="1" applyAlignment="1">
      <alignment horizontal="center" vertical="center"/>
    </xf>
    <xf numFmtId="4" fontId="8" fillId="7" borderId="7" xfId="1" applyNumberFormat="1" applyFont="1" applyFill="1" applyBorder="1" applyAlignment="1">
      <alignment vertical="center"/>
    </xf>
    <xf numFmtId="0" fontId="11" fillId="2" borderId="6" xfId="1" applyFont="1" applyFill="1" applyBorder="1" applyAlignment="1">
      <alignment vertical="center" wrapText="1"/>
    </xf>
    <xf numFmtId="49" fontId="11" fillId="2" borderId="7" xfId="1" applyNumberFormat="1" applyFont="1" applyFill="1" applyBorder="1" applyAlignment="1">
      <alignment horizontal="center" wrapText="1"/>
    </xf>
    <xf numFmtId="4" fontId="11" fillId="0" borderId="7" xfId="1" applyNumberFormat="1" applyFont="1" applyBorder="1"/>
    <xf numFmtId="4" fontId="11" fillId="2" borderId="7" xfId="1" applyNumberFormat="1" applyFont="1" applyFill="1" applyBorder="1"/>
    <xf numFmtId="4" fontId="11" fillId="2" borderId="9" xfId="1" applyNumberFormat="1" applyFont="1" applyFill="1" applyBorder="1"/>
    <xf numFmtId="0" fontId="9" fillId="2" borderId="7" xfId="1" applyFont="1" applyFill="1" applyBorder="1" applyAlignment="1">
      <alignment horizontal="center" wrapText="1"/>
    </xf>
    <xf numFmtId="0" fontId="13" fillId="2" borderId="6" xfId="1" applyFont="1" applyFill="1" applyBorder="1" applyAlignment="1">
      <alignment vertical="center" wrapText="1"/>
    </xf>
    <xf numFmtId="1" fontId="7" fillId="6" borderId="6" xfId="1" applyNumberFormat="1" applyFont="1" applyFill="1" applyBorder="1" applyAlignment="1">
      <alignment vertical="center" wrapText="1"/>
    </xf>
    <xf numFmtId="1" fontId="11" fillId="6" borderId="7" xfId="1" applyNumberFormat="1" applyFont="1" applyFill="1" applyBorder="1" applyAlignment="1">
      <alignment horizontal="center" wrapText="1"/>
    </xf>
    <xf numFmtId="49" fontId="11" fillId="6" borderId="7" xfId="1" applyNumberFormat="1" applyFont="1" applyFill="1" applyBorder="1" applyAlignment="1">
      <alignment horizontal="center"/>
    </xf>
    <xf numFmtId="49" fontId="7" fillId="6" borderId="7" xfId="1" applyNumberFormat="1" applyFont="1" applyFill="1" applyBorder="1" applyAlignment="1">
      <alignment horizontal="center"/>
    </xf>
    <xf numFmtId="4" fontId="15" fillId="7" borderId="7" xfId="1" applyNumberFormat="1" applyFont="1" applyFill="1" applyBorder="1"/>
    <xf numFmtId="4" fontId="7" fillId="7" borderId="7" xfId="1" applyNumberFormat="1" applyFont="1" applyFill="1" applyBorder="1"/>
    <xf numFmtId="4" fontId="15" fillId="6" borderId="7" xfId="1" applyNumberFormat="1" applyFont="1" applyFill="1" applyBorder="1"/>
    <xf numFmtId="4" fontId="7" fillId="6" borderId="9" xfId="1" applyNumberFormat="1" applyFont="1" applyFill="1" applyBorder="1"/>
    <xf numFmtId="49" fontId="9" fillId="8" borderId="7" xfId="1" applyNumberFormat="1" applyFont="1" applyFill="1" applyBorder="1" applyAlignment="1">
      <alignment horizontal="center"/>
    </xf>
    <xf numFmtId="4" fontId="16" fillId="0" borderId="7" xfId="1" applyNumberFormat="1" applyFont="1" applyBorder="1"/>
    <xf numFmtId="4" fontId="16" fillId="2" borderId="7" xfId="1" applyNumberFormat="1" applyFont="1" applyFill="1" applyBorder="1"/>
    <xf numFmtId="4" fontId="16" fillId="2" borderId="9" xfId="1" applyNumberFormat="1" applyFont="1" applyFill="1" applyBorder="1"/>
    <xf numFmtId="0" fontId="11" fillId="2" borderId="7" xfId="1" applyFont="1" applyFill="1" applyBorder="1" applyAlignment="1">
      <alignment horizontal="center" wrapText="1"/>
    </xf>
    <xf numFmtId="0" fontId="8" fillId="2" borderId="0" xfId="1" applyFont="1" applyFill="1"/>
    <xf numFmtId="0" fontId="4" fillId="10" borderId="6" xfId="1" applyFill="1" applyBorder="1" applyAlignment="1">
      <alignment vertical="center" wrapText="1"/>
    </xf>
    <xf numFmtId="1" fontId="9" fillId="2" borderId="7" xfId="1" applyNumberFormat="1" applyFont="1" applyFill="1" applyBorder="1" applyAlignment="1">
      <alignment horizontal="center" wrapText="1"/>
    </xf>
    <xf numFmtId="49" fontId="4" fillId="2" borderId="6" xfId="1" applyNumberFormat="1" applyFill="1" applyBorder="1" applyAlignment="1">
      <alignment wrapText="1"/>
    </xf>
    <xf numFmtId="0" fontId="6" fillId="2" borderId="7" xfId="1" applyFont="1" applyFill="1" applyBorder="1" applyAlignment="1">
      <alignment horizontal="center" wrapText="1"/>
    </xf>
    <xf numFmtId="0" fontId="10" fillId="2" borderId="7" xfId="1" applyFont="1" applyFill="1" applyBorder="1" applyAlignment="1">
      <alignment horizontal="center" wrapText="1"/>
    </xf>
    <xf numFmtId="0" fontId="11" fillId="2" borderId="7" xfId="1" applyFont="1" applyFill="1" applyBorder="1" applyAlignment="1">
      <alignment horizontal="center"/>
    </xf>
    <xf numFmtId="49" fontId="17" fillId="2" borderId="6" xfId="1" applyNumberFormat="1" applyFont="1" applyFill="1" applyBorder="1" applyAlignment="1">
      <alignment vertical="top" wrapText="1"/>
    </xf>
    <xf numFmtId="49" fontId="18" fillId="2" borderId="7" xfId="1" applyNumberFormat="1" applyFont="1" applyFill="1" applyBorder="1" applyAlignment="1">
      <alignment horizontal="center" vertical="top" wrapText="1"/>
    </xf>
    <xf numFmtId="49" fontId="3" fillId="2" borderId="6" xfId="1" applyNumberFormat="1" applyFont="1" applyFill="1" applyBorder="1" applyAlignment="1">
      <alignment vertical="top" wrapText="1"/>
    </xf>
    <xf numFmtId="49" fontId="19" fillId="2" borderId="7" xfId="1" applyNumberFormat="1" applyFont="1" applyFill="1" applyBorder="1" applyAlignment="1">
      <alignment horizontal="center" vertical="top" wrapText="1"/>
    </xf>
    <xf numFmtId="49" fontId="3" fillId="8" borderId="6" xfId="1" applyNumberFormat="1" applyFont="1" applyFill="1" applyBorder="1" applyAlignment="1">
      <alignment vertical="top" wrapText="1"/>
    </xf>
    <xf numFmtId="4" fontId="13" fillId="2" borderId="9" xfId="1" applyNumberFormat="1" applyFont="1" applyFill="1" applyBorder="1"/>
    <xf numFmtId="4" fontId="8" fillId="4" borderId="7" xfId="1" applyNumberFormat="1" applyFont="1" applyFill="1" applyBorder="1"/>
    <xf numFmtId="4" fontId="8" fillId="4" borderId="9" xfId="1" applyNumberFormat="1" applyFont="1" applyFill="1" applyBorder="1"/>
    <xf numFmtId="0" fontId="8" fillId="2" borderId="6" xfId="1" applyFont="1" applyFill="1" applyBorder="1" applyAlignment="1">
      <alignment wrapText="1"/>
    </xf>
    <xf numFmtId="1" fontId="8" fillId="4" borderId="6" xfId="1" applyNumberFormat="1" applyFont="1" applyFill="1" applyBorder="1" applyAlignment="1">
      <alignment vertical="center" wrapText="1"/>
    </xf>
    <xf numFmtId="1" fontId="9" fillId="4" borderId="7" xfId="1" applyNumberFormat="1" applyFont="1" applyFill="1" applyBorder="1" applyAlignment="1">
      <alignment horizontal="center" vertical="center" wrapText="1"/>
    </xf>
    <xf numFmtId="49" fontId="9" fillId="4" borderId="7" xfId="1" applyNumberFormat="1" applyFont="1" applyFill="1" applyBorder="1" applyAlignment="1">
      <alignment horizontal="center" vertical="center"/>
    </xf>
    <xf numFmtId="49" fontId="8" fillId="4" borderId="7" xfId="1" applyNumberFormat="1" applyFont="1" applyFill="1" applyBorder="1" applyAlignment="1">
      <alignment horizontal="center" vertical="center"/>
    </xf>
    <xf numFmtId="1" fontId="8" fillId="6" borderId="6" xfId="1" applyNumberFormat="1" applyFont="1" applyFill="1" applyBorder="1" applyAlignment="1">
      <alignment vertical="center" wrapText="1"/>
    </xf>
    <xf numFmtId="1" fontId="9" fillId="6" borderId="7" xfId="1" applyNumberFormat="1" applyFont="1" applyFill="1" applyBorder="1" applyAlignment="1">
      <alignment horizontal="center" vertical="center" wrapText="1"/>
    </xf>
    <xf numFmtId="4" fontId="8" fillId="11" borderId="7" xfId="1" applyNumberFormat="1" applyFont="1" applyFill="1" applyBorder="1"/>
    <xf numFmtId="1" fontId="13" fillId="2" borderId="6" xfId="1" applyNumberFormat="1" applyFont="1" applyFill="1" applyBorder="1" applyAlignment="1">
      <alignment vertical="center" wrapText="1"/>
    </xf>
    <xf numFmtId="1" fontId="10" fillId="2" borderId="7" xfId="1" applyNumberFormat="1" applyFont="1" applyFill="1" applyBorder="1" applyAlignment="1">
      <alignment horizontal="center" vertical="center" wrapText="1"/>
    </xf>
    <xf numFmtId="49" fontId="10" fillId="2" borderId="7" xfId="1" applyNumberFormat="1" applyFont="1" applyFill="1" applyBorder="1" applyAlignment="1">
      <alignment horizontal="center" vertical="center"/>
    </xf>
    <xf numFmtId="49" fontId="13" fillId="2" borderId="7" xfId="1" applyNumberFormat="1" applyFont="1" applyFill="1" applyBorder="1" applyAlignment="1">
      <alignment horizontal="center" vertical="center"/>
    </xf>
    <xf numFmtId="0" fontId="8" fillId="8" borderId="6" xfId="1" applyFont="1" applyFill="1" applyBorder="1" applyAlignment="1">
      <alignment vertical="center" wrapText="1"/>
    </xf>
    <xf numFmtId="1" fontId="9" fillId="8" borderId="7" xfId="1" applyNumberFormat="1" applyFont="1" applyFill="1" applyBorder="1" applyAlignment="1">
      <alignment horizontal="center" vertical="center" wrapText="1"/>
    </xf>
    <xf numFmtId="49" fontId="8" fillId="8" borderId="7" xfId="1" applyNumberFormat="1" applyFont="1" applyFill="1" applyBorder="1" applyAlignment="1">
      <alignment horizontal="center"/>
    </xf>
    <xf numFmtId="4" fontId="8" fillId="3" borderId="7" xfId="1" applyNumberFormat="1" applyFont="1" applyFill="1" applyBorder="1"/>
    <xf numFmtId="4" fontId="8" fillId="7" borderId="10" xfId="1" applyNumberFormat="1" applyFont="1" applyFill="1" applyBorder="1"/>
    <xf numFmtId="1" fontId="6" fillId="0" borderId="7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/>
    </xf>
    <xf numFmtId="49" fontId="4" fillId="0" borderId="7" xfId="1" applyNumberFormat="1" applyBorder="1" applyAlignment="1">
      <alignment horizontal="center"/>
    </xf>
    <xf numFmtId="1" fontId="8" fillId="2" borderId="6" xfId="1" applyNumberFormat="1" applyFont="1" applyFill="1" applyBorder="1" applyAlignment="1">
      <alignment vertical="center" wrapText="1"/>
    </xf>
    <xf numFmtId="1" fontId="13" fillId="2" borderId="6" xfId="1" applyNumberFormat="1" applyFont="1" applyFill="1" applyBorder="1" applyAlignment="1">
      <alignment horizontal="left" vertical="center" wrapText="1"/>
    </xf>
    <xf numFmtId="49" fontId="11" fillId="0" borderId="7" xfId="1" applyNumberFormat="1" applyFont="1" applyBorder="1" applyAlignment="1">
      <alignment horizontal="center"/>
    </xf>
    <xf numFmtId="0" fontId="13" fillId="10" borderId="6" xfId="1" applyFont="1" applyFill="1" applyBorder="1" applyAlignment="1">
      <alignment vertical="center" wrapText="1"/>
    </xf>
    <xf numFmtId="0" fontId="9" fillId="0" borderId="7" xfId="1" applyFont="1" applyBorder="1" applyAlignment="1">
      <alignment horizontal="center" vertical="center" wrapText="1"/>
    </xf>
    <xf numFmtId="49" fontId="9" fillId="0" borderId="7" xfId="1" applyNumberFormat="1" applyFont="1" applyBorder="1" applyAlignment="1">
      <alignment horizontal="center"/>
    </xf>
    <xf numFmtId="49" fontId="8" fillId="0" borderId="7" xfId="1" applyNumberFormat="1" applyFont="1" applyBorder="1" applyAlignment="1">
      <alignment horizontal="center"/>
    </xf>
    <xf numFmtId="1" fontId="4" fillId="0" borderId="6" xfId="1" applyNumberFormat="1" applyBorder="1" applyAlignment="1">
      <alignment vertical="center" wrapText="1"/>
    </xf>
    <xf numFmtId="0" fontId="7" fillId="8" borderId="6" xfId="1" applyFont="1" applyFill="1" applyBorder="1" applyAlignment="1">
      <alignment vertical="center" wrapText="1"/>
    </xf>
    <xf numFmtId="49" fontId="6" fillId="2" borderId="7" xfId="1" applyNumberFormat="1" applyFont="1" applyFill="1" applyBorder="1" applyAlignment="1">
      <alignment horizontal="center" wrapText="1"/>
    </xf>
    <xf numFmtId="4" fontId="15" fillId="0" borderId="7" xfId="1" applyNumberFormat="1" applyFont="1" applyBorder="1"/>
    <xf numFmtId="4" fontId="15" fillId="2" borderId="7" xfId="1" applyNumberFormat="1" applyFont="1" applyFill="1" applyBorder="1"/>
    <xf numFmtId="1" fontId="7" fillId="6" borderId="6" xfId="1" applyNumberFormat="1" applyFont="1" applyFill="1" applyBorder="1" applyAlignment="1">
      <alignment horizontal="left" wrapText="1"/>
    </xf>
    <xf numFmtId="4" fontId="7" fillId="7" borderId="7" xfId="1" applyNumberFormat="1" applyFont="1" applyFill="1" applyBorder="1" applyAlignment="1">
      <alignment horizontal="right"/>
    </xf>
    <xf numFmtId="4" fontId="7" fillId="6" borderId="7" xfId="1" applyNumberFormat="1" applyFont="1" applyFill="1" applyBorder="1" applyAlignment="1">
      <alignment horizontal="right"/>
    </xf>
    <xf numFmtId="4" fontId="7" fillId="6" borderId="9" xfId="1" applyNumberFormat="1" applyFont="1" applyFill="1" applyBorder="1" applyAlignment="1">
      <alignment horizontal="right"/>
    </xf>
    <xf numFmtId="0" fontId="7" fillId="2" borderId="0" xfId="1" applyFont="1" applyFill="1" applyAlignment="1">
      <alignment horizontal="center"/>
    </xf>
    <xf numFmtId="49" fontId="10" fillId="0" borderId="7" xfId="1" applyNumberFormat="1" applyFont="1" applyBorder="1" applyAlignment="1">
      <alignment horizontal="center"/>
    </xf>
    <xf numFmtId="49" fontId="11" fillId="7" borderId="7" xfId="1" applyNumberFormat="1" applyFont="1" applyFill="1" applyBorder="1" applyAlignment="1">
      <alignment horizontal="center"/>
    </xf>
    <xf numFmtId="1" fontId="4" fillId="8" borderId="6" xfId="1" applyNumberFormat="1" applyFill="1" applyBorder="1" applyAlignment="1">
      <alignment vertical="center" wrapText="1"/>
    </xf>
    <xf numFmtId="0" fontId="8" fillId="4" borderId="6" xfId="1" applyFont="1" applyFill="1" applyBorder="1" applyAlignment="1">
      <alignment vertical="top" wrapText="1"/>
    </xf>
    <xf numFmtId="0" fontId="9" fillId="4" borderId="7" xfId="1" applyFont="1" applyFill="1" applyBorder="1" applyAlignment="1">
      <alignment horizontal="center" vertical="top" wrapText="1"/>
    </xf>
    <xf numFmtId="0" fontId="13" fillId="0" borderId="6" xfId="1" applyFont="1" applyBorder="1" applyAlignment="1">
      <alignment vertical="center" wrapText="1"/>
    </xf>
    <xf numFmtId="0" fontId="13" fillId="3" borderId="6" xfId="1" applyFont="1" applyFill="1" applyBorder="1" applyAlignment="1">
      <alignment vertical="center" wrapText="1"/>
    </xf>
    <xf numFmtId="0" fontId="10" fillId="0" borderId="7" xfId="1" applyFont="1" applyBorder="1" applyAlignment="1">
      <alignment horizontal="center" vertical="center" wrapText="1"/>
    </xf>
    <xf numFmtId="49" fontId="13" fillId="0" borderId="7" xfId="1" applyNumberFormat="1" applyFont="1" applyBorder="1" applyAlignment="1">
      <alignment horizontal="center"/>
    </xf>
    <xf numFmtId="49" fontId="10" fillId="0" borderId="7" xfId="1" applyNumberFormat="1" applyFont="1" applyBorder="1" applyAlignment="1">
      <alignment horizontal="center" wrapText="1"/>
    </xf>
    <xf numFmtId="49" fontId="13" fillId="0" borderId="7" xfId="1" applyNumberFormat="1" applyFont="1" applyBorder="1" applyAlignment="1">
      <alignment horizontal="center" wrapText="1"/>
    </xf>
    <xf numFmtId="4" fontId="13" fillId="0" borderId="7" xfId="1" applyNumberFormat="1" applyFont="1" applyBorder="1" applyAlignment="1">
      <alignment wrapText="1"/>
    </xf>
    <xf numFmtId="4" fontId="4" fillId="0" borderId="7" xfId="1" applyNumberFormat="1" applyBorder="1" applyAlignment="1">
      <alignment wrapText="1"/>
    </xf>
    <xf numFmtId="4" fontId="13" fillId="2" borderId="7" xfId="1" applyNumberFormat="1" applyFont="1" applyFill="1" applyBorder="1" applyAlignment="1">
      <alignment wrapText="1"/>
    </xf>
    <xf numFmtId="0" fontId="4" fillId="2" borderId="0" xfId="1" applyFill="1" applyAlignment="1">
      <alignment wrapText="1"/>
    </xf>
    <xf numFmtId="49" fontId="9" fillId="2" borderId="7" xfId="1" applyNumberFormat="1" applyFont="1" applyFill="1" applyBorder="1" applyAlignment="1">
      <alignment horizontal="center" wrapText="1"/>
    </xf>
    <xf numFmtId="49" fontId="10" fillId="2" borderId="7" xfId="1" applyNumberFormat="1" applyFont="1" applyFill="1" applyBorder="1" applyAlignment="1">
      <alignment horizontal="center" vertical="center" wrapText="1"/>
    </xf>
    <xf numFmtId="4" fontId="13" fillId="3" borderId="7" xfId="1" applyNumberFormat="1" applyFont="1" applyFill="1" applyBorder="1"/>
    <xf numFmtId="1" fontId="4" fillId="8" borderId="6" xfId="1" applyNumberFormat="1" applyFill="1" applyBorder="1" applyAlignment="1">
      <alignment wrapText="1"/>
    </xf>
    <xf numFmtId="4" fontId="4" fillId="3" borderId="7" xfId="1" applyNumberFormat="1" applyFill="1" applyBorder="1"/>
    <xf numFmtId="49" fontId="9" fillId="6" borderId="7" xfId="1" applyNumberFormat="1" applyFont="1" applyFill="1" applyBorder="1" applyAlignment="1">
      <alignment horizontal="center" wrapText="1"/>
    </xf>
    <xf numFmtId="49" fontId="6" fillId="6" borderId="7" xfId="1" applyNumberFormat="1" applyFont="1" applyFill="1" applyBorder="1" applyAlignment="1">
      <alignment horizontal="center" wrapText="1"/>
    </xf>
    <xf numFmtId="49" fontId="6" fillId="6" borderId="7" xfId="1" applyNumberFormat="1" applyFont="1" applyFill="1" applyBorder="1" applyAlignment="1">
      <alignment horizontal="center"/>
    </xf>
    <xf numFmtId="49" fontId="10" fillId="8" borderId="7" xfId="1" applyNumberFormat="1" applyFont="1" applyFill="1" applyBorder="1" applyAlignment="1">
      <alignment horizontal="center"/>
    </xf>
    <xf numFmtId="49" fontId="11" fillId="8" borderId="7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 vertical="center" wrapText="1"/>
    </xf>
    <xf numFmtId="49" fontId="11" fillId="2" borderId="7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1" fontId="7" fillId="12" borderId="6" xfId="1" applyNumberFormat="1" applyFont="1" applyFill="1" applyBorder="1" applyAlignment="1">
      <alignment wrapText="1"/>
    </xf>
    <xf numFmtId="49" fontId="11" fillId="12" borderId="7" xfId="1" applyNumberFormat="1" applyFont="1" applyFill="1" applyBorder="1" applyAlignment="1">
      <alignment horizontal="center" wrapText="1"/>
    </xf>
    <xf numFmtId="49" fontId="11" fillId="12" borderId="7" xfId="1" applyNumberFormat="1" applyFont="1" applyFill="1" applyBorder="1" applyAlignment="1">
      <alignment horizontal="center"/>
    </xf>
    <xf numFmtId="49" fontId="7" fillId="12" borderId="7" xfId="1" applyNumberFormat="1" applyFont="1" applyFill="1" applyBorder="1" applyAlignment="1">
      <alignment horizontal="center"/>
    </xf>
    <xf numFmtId="4" fontId="7" fillId="11" borderId="7" xfId="1" applyNumberFormat="1" applyFont="1" applyFill="1" applyBorder="1"/>
    <xf numFmtId="1" fontId="13" fillId="6" borderId="6" xfId="1" applyNumberFormat="1" applyFont="1" applyFill="1" applyBorder="1" applyAlignment="1">
      <alignment vertical="center" wrapText="1"/>
    </xf>
    <xf numFmtId="1" fontId="10" fillId="6" borderId="7" xfId="1" applyNumberFormat="1" applyFont="1" applyFill="1" applyBorder="1" applyAlignment="1">
      <alignment horizontal="center" wrapText="1"/>
    </xf>
    <xf numFmtId="49" fontId="10" fillId="6" borderId="7" xfId="1" applyNumberFormat="1" applyFont="1" applyFill="1" applyBorder="1" applyAlignment="1">
      <alignment horizontal="center"/>
    </xf>
    <xf numFmtId="49" fontId="13" fillId="6" borderId="7" xfId="1" applyNumberFormat="1" applyFont="1" applyFill="1" applyBorder="1" applyAlignment="1">
      <alignment horizontal="center"/>
    </xf>
    <xf numFmtId="4" fontId="13" fillId="7" borderId="7" xfId="1" applyNumberFormat="1" applyFont="1" applyFill="1" applyBorder="1"/>
    <xf numFmtId="1" fontId="10" fillId="8" borderId="7" xfId="1" applyNumberFormat="1" applyFont="1" applyFill="1" applyBorder="1" applyAlignment="1">
      <alignment horizontal="center" wrapText="1"/>
    </xf>
    <xf numFmtId="49" fontId="13" fillId="8" borderId="7" xfId="1" applyNumberFormat="1" applyFont="1" applyFill="1" applyBorder="1" applyAlignment="1">
      <alignment horizontal="center"/>
    </xf>
    <xf numFmtId="0" fontId="8" fillId="12" borderId="6" xfId="1" applyFont="1" applyFill="1" applyBorder="1" applyAlignment="1">
      <alignment wrapText="1"/>
    </xf>
    <xf numFmtId="0" fontId="9" fillId="12" borderId="7" xfId="1" applyFont="1" applyFill="1" applyBorder="1" applyAlignment="1">
      <alignment horizontal="center" wrapText="1"/>
    </xf>
    <xf numFmtId="49" fontId="9" fillId="12" borderId="7" xfId="1" applyNumberFormat="1" applyFont="1" applyFill="1" applyBorder="1" applyAlignment="1">
      <alignment horizontal="center"/>
    </xf>
    <xf numFmtId="49" fontId="8" fillId="12" borderId="7" xfId="1" applyNumberFormat="1" applyFont="1" applyFill="1" applyBorder="1" applyAlignment="1">
      <alignment horizontal="center"/>
    </xf>
    <xf numFmtId="4" fontId="8" fillId="12" borderId="7" xfId="1" applyNumberFormat="1" applyFont="1" applyFill="1" applyBorder="1"/>
    <xf numFmtId="4" fontId="8" fillId="12" borderId="9" xfId="1" applyNumberFormat="1" applyFont="1" applyFill="1" applyBorder="1"/>
    <xf numFmtId="4" fontId="8" fillId="0" borderId="7" xfId="1" applyNumberFormat="1" applyFont="1" applyBorder="1" applyProtection="1">
      <protection locked="0"/>
    </xf>
    <xf numFmtId="4" fontId="8" fillId="2" borderId="7" xfId="1" applyNumberFormat="1" applyFont="1" applyFill="1" applyBorder="1" applyProtection="1">
      <protection locked="0"/>
    </xf>
    <xf numFmtId="49" fontId="10" fillId="2" borderId="7" xfId="1" applyNumberFormat="1" applyFont="1" applyFill="1" applyBorder="1" applyAlignment="1">
      <alignment horizontal="center" wrapText="1"/>
    </xf>
    <xf numFmtId="0" fontId="11" fillId="2" borderId="0" xfId="1" applyFont="1" applyFill="1"/>
    <xf numFmtId="0" fontId="10" fillId="2" borderId="0" xfId="1" applyFont="1" applyFill="1"/>
    <xf numFmtId="0" fontId="9" fillId="2" borderId="6" xfId="1" applyFont="1" applyFill="1" applyBorder="1" applyAlignment="1">
      <alignment vertical="center" wrapText="1"/>
    </xf>
    <xf numFmtId="0" fontId="6" fillId="2" borderId="0" xfId="1" applyFont="1" applyFill="1"/>
    <xf numFmtId="0" fontId="10" fillId="2" borderId="6" xfId="1" applyFont="1" applyFill="1" applyBorder="1" applyAlignment="1">
      <alignment vertical="center" wrapText="1"/>
    </xf>
    <xf numFmtId="0" fontId="17" fillId="0" borderId="7" xfId="0" applyFont="1" applyBorder="1" applyAlignment="1">
      <alignment horizontal="left" wrapText="1"/>
    </xf>
    <xf numFmtId="0" fontId="9" fillId="0" borderId="7" xfId="1" applyFont="1" applyBorder="1" applyAlignment="1">
      <alignment horizontal="center" wrapText="1"/>
    </xf>
    <xf numFmtId="4" fontId="9" fillId="0" borderId="7" xfId="1" applyNumberFormat="1" applyFont="1" applyBorder="1" applyAlignment="1">
      <alignment horizontal="right"/>
    </xf>
    <xf numFmtId="4" fontId="8" fillId="0" borderId="7" xfId="1" applyNumberFormat="1" applyFont="1" applyBorder="1" applyAlignment="1">
      <alignment horizontal="center"/>
    </xf>
    <xf numFmtId="4" fontId="7" fillId="0" borderId="7" xfId="1" applyNumberFormat="1" applyFont="1" applyBorder="1" applyAlignment="1">
      <alignment horizontal="center"/>
    </xf>
    <xf numFmtId="4" fontId="8" fillId="2" borderId="9" xfId="1" applyNumberFormat="1" applyFont="1" applyFill="1" applyBorder="1" applyAlignment="1">
      <alignment horizontal="center"/>
    </xf>
    <xf numFmtId="0" fontId="8" fillId="2" borderId="0" xfId="1" applyFont="1" applyFill="1" applyAlignment="1">
      <alignment horizontal="center"/>
    </xf>
    <xf numFmtId="0" fontId="3" fillId="0" borderId="7" xfId="0" applyFont="1" applyBorder="1" applyAlignment="1">
      <alignment horizontal="left" wrapText="1"/>
    </xf>
    <xf numFmtId="0" fontId="17" fillId="0" borderId="11" xfId="0" applyFont="1" applyBorder="1" applyAlignment="1">
      <alignment horizontal="left" wrapText="1"/>
    </xf>
    <xf numFmtId="4" fontId="8" fillId="2" borderId="10" xfId="1" applyNumberFormat="1" applyFont="1" applyFill="1" applyBorder="1"/>
    <xf numFmtId="0" fontId="4" fillId="6" borderId="6" xfId="1" applyFill="1" applyBorder="1" applyAlignment="1">
      <alignment wrapText="1"/>
    </xf>
    <xf numFmtId="0" fontId="6" fillId="6" borderId="7" xfId="1" applyFont="1" applyFill="1" applyBorder="1" applyAlignment="1">
      <alignment horizontal="center" wrapText="1"/>
    </xf>
    <xf numFmtId="49" fontId="4" fillId="6" borderId="7" xfId="1" applyNumberFormat="1" applyFill="1" applyBorder="1" applyAlignment="1">
      <alignment horizontal="center"/>
    </xf>
    <xf numFmtId="4" fontId="13" fillId="6" borderId="7" xfId="1" applyNumberFormat="1" applyFont="1" applyFill="1" applyBorder="1"/>
    <xf numFmtId="4" fontId="13" fillId="6" borderId="9" xfId="1" applyNumberFormat="1" applyFont="1" applyFill="1" applyBorder="1"/>
    <xf numFmtId="0" fontId="13" fillId="2" borderId="6" xfId="1" applyFont="1" applyFill="1" applyBorder="1" applyAlignment="1">
      <alignment wrapText="1"/>
    </xf>
    <xf numFmtId="0" fontId="13" fillId="2" borderId="12" xfId="1" applyFont="1" applyFill="1" applyBorder="1"/>
    <xf numFmtId="0" fontId="9" fillId="2" borderId="13" xfId="1" applyFont="1" applyFill="1" applyBorder="1" applyAlignment="1">
      <alignment horizontal="center"/>
    </xf>
    <xf numFmtId="0" fontId="6" fillId="2" borderId="13" xfId="1" applyFont="1" applyFill="1" applyBorder="1" applyAlignment="1">
      <alignment horizontal="center"/>
    </xf>
    <xf numFmtId="0" fontId="4" fillId="2" borderId="13" xfId="1" applyFill="1" applyBorder="1" applyAlignment="1">
      <alignment horizontal="center"/>
    </xf>
    <xf numFmtId="4" fontId="8" fillId="0" borderId="13" xfId="1" applyNumberFormat="1" applyFont="1" applyBorder="1" applyProtection="1">
      <protection locked="0"/>
    </xf>
    <xf numFmtId="0" fontId="4" fillId="2" borderId="0" xfId="1" applyFill="1" applyAlignment="1">
      <alignment horizontal="center"/>
    </xf>
    <xf numFmtId="4" fontId="4" fillId="0" borderId="0" xfId="1" applyNumberFormat="1"/>
    <xf numFmtId="4" fontId="12" fillId="0" borderId="0" xfId="1" applyNumberFormat="1" applyFont="1"/>
    <xf numFmtId="0" fontId="4" fillId="0" borderId="0" xfId="1"/>
    <xf numFmtId="0" fontId="5" fillId="2" borderId="0" xfId="1" applyFont="1" applyFill="1"/>
    <xf numFmtId="4" fontId="5" fillId="0" borderId="0" xfId="1" applyNumberFormat="1" applyFont="1" applyAlignment="1">
      <alignment horizontal="center" vertical="center"/>
    </xf>
    <xf numFmtId="0" fontId="5" fillId="0" borderId="0" xfId="1" applyFont="1"/>
    <xf numFmtId="4" fontId="9" fillId="0" borderId="0" xfId="1" applyNumberFormat="1" applyFont="1" applyAlignment="1">
      <alignment horizontal="center" vertical="center"/>
    </xf>
    <xf numFmtId="0" fontId="8" fillId="0" borderId="0" xfId="1" applyFont="1"/>
    <xf numFmtId="4" fontId="4" fillId="2" borderId="0" xfId="1" applyNumberFormat="1" applyFill="1" applyAlignment="1">
      <alignment horizontal="center"/>
    </xf>
    <xf numFmtId="0" fontId="11" fillId="2" borderId="0" xfId="1" applyFont="1" applyFill="1" applyAlignment="1">
      <alignment horizontal="center"/>
    </xf>
    <xf numFmtId="4" fontId="7" fillId="0" borderId="0" xfId="1" applyNumberFormat="1" applyFont="1"/>
    <xf numFmtId="0" fontId="7" fillId="0" borderId="0" xfId="1" applyFont="1"/>
    <xf numFmtId="0" fontId="4" fillId="2" borderId="0" xfId="1" applyFill="1" applyAlignment="1">
      <alignment horizontal="right"/>
    </xf>
    <xf numFmtId="0" fontId="6" fillId="2" borderId="0" xfId="1" applyFont="1" applyFill="1" applyAlignment="1">
      <alignment horizontal="left"/>
    </xf>
    <xf numFmtId="4" fontId="21" fillId="3" borderId="7" xfId="1" applyNumberFormat="1" applyFont="1" applyFill="1" applyBorder="1"/>
    <xf numFmtId="4" fontId="21" fillId="8" borderId="7" xfId="1" applyNumberFormat="1" applyFont="1" applyFill="1" applyBorder="1"/>
    <xf numFmtId="4" fontId="13" fillId="8" borderId="9" xfId="1" applyNumberFormat="1" applyFont="1" applyFill="1" applyBorder="1"/>
    <xf numFmtId="0" fontId="2" fillId="13" borderId="7" xfId="2" applyFont="1" applyFill="1" applyBorder="1" applyAlignment="1">
      <alignment horizontal="left" vertical="center" wrapText="1"/>
    </xf>
    <xf numFmtId="0" fontId="10" fillId="8" borderId="7" xfId="1" applyFont="1" applyFill="1" applyBorder="1" applyAlignment="1">
      <alignment horizontal="center" wrapText="1"/>
    </xf>
    <xf numFmtId="4" fontId="11" fillId="0" borderId="7" xfId="1" applyNumberFormat="1" applyFont="1" applyBorder="1" applyAlignment="1">
      <alignment horizontal="center"/>
    </xf>
    <xf numFmtId="4" fontId="11" fillId="2" borderId="7" xfId="1" applyNumberFormat="1" applyFont="1" applyFill="1" applyBorder="1" applyAlignment="1">
      <alignment horizontal="center"/>
    </xf>
    <xf numFmtId="4" fontId="7" fillId="2" borderId="9" xfId="1" applyNumberFormat="1" applyFont="1" applyFill="1" applyBorder="1" applyAlignment="1">
      <alignment horizontal="center"/>
    </xf>
    <xf numFmtId="4" fontId="11" fillId="2" borderId="9" xfId="1" applyNumberFormat="1" applyFont="1" applyFill="1" applyBorder="1" applyAlignment="1">
      <alignment horizontal="center"/>
    </xf>
    <xf numFmtId="4" fontId="4" fillId="0" borderId="7" xfId="1" applyNumberFormat="1" applyBorder="1" applyAlignment="1">
      <alignment horizontal="center"/>
    </xf>
    <xf numFmtId="4" fontId="4" fillId="2" borderId="7" xfId="1" applyNumberFormat="1" applyFill="1" applyBorder="1" applyAlignment="1">
      <alignment horizontal="center"/>
    </xf>
    <xf numFmtId="4" fontId="4" fillId="2" borderId="9" xfId="1" applyNumberFormat="1" applyFill="1" applyBorder="1" applyAlignment="1">
      <alignment horizontal="center"/>
    </xf>
    <xf numFmtId="4" fontId="7" fillId="2" borderId="7" xfId="1" applyNumberFormat="1" applyFont="1" applyFill="1" applyBorder="1" applyAlignment="1">
      <alignment horizontal="center"/>
    </xf>
    <xf numFmtId="4" fontId="14" fillId="0" borderId="7" xfId="1" applyNumberFormat="1" applyFont="1" applyBorder="1" applyAlignment="1">
      <alignment horizontal="center"/>
    </xf>
    <xf numFmtId="4" fontId="14" fillId="2" borderId="7" xfId="1" applyNumberFormat="1" applyFont="1" applyFill="1" applyBorder="1" applyAlignment="1">
      <alignment horizontal="center"/>
    </xf>
    <xf numFmtId="49" fontId="9" fillId="8" borderId="7" xfId="1" applyNumberFormat="1" applyFont="1" applyFill="1" applyBorder="1" applyAlignment="1">
      <alignment horizontal="center" wrapText="1"/>
    </xf>
    <xf numFmtId="2" fontId="9" fillId="8" borderId="7" xfId="1" applyNumberFormat="1" applyFont="1" applyFill="1" applyBorder="1" applyAlignment="1">
      <alignment horizontal="center"/>
    </xf>
    <xf numFmtId="4" fontId="8" fillId="3" borderId="7" xfId="1" applyNumberFormat="1" applyFont="1" applyFill="1" applyBorder="1" applyAlignment="1">
      <alignment horizontal="center"/>
    </xf>
    <xf numFmtId="4" fontId="8" fillId="3" borderId="10" xfId="1" applyNumberFormat="1" applyFont="1" applyFill="1" applyBorder="1" applyAlignment="1">
      <alignment horizontal="center"/>
    </xf>
    <xf numFmtId="0" fontId="24" fillId="2" borderId="0" xfId="1" applyFont="1" applyFill="1"/>
    <xf numFmtId="4" fontId="8" fillId="5" borderId="7" xfId="1" applyNumberFormat="1" applyFont="1" applyFill="1" applyBorder="1" applyAlignment="1">
      <alignment horizontal="right"/>
    </xf>
    <xf numFmtId="4" fontId="8" fillId="7" borderId="7" xfId="1" applyNumberFormat="1" applyFont="1" applyFill="1" applyBorder="1" applyAlignment="1">
      <alignment horizontal="right"/>
    </xf>
    <xf numFmtId="4" fontId="8" fillId="3" borderId="7" xfId="1" applyNumberFormat="1" applyFont="1" applyFill="1" applyBorder="1" applyAlignment="1">
      <alignment horizontal="right"/>
    </xf>
    <xf numFmtId="4" fontId="15" fillId="7" borderId="7" xfId="1" applyNumberFormat="1" applyFont="1" applyFill="1" applyBorder="1" applyAlignment="1">
      <alignment horizontal="right"/>
    </xf>
    <xf numFmtId="4" fontId="4" fillId="3" borderId="7" xfId="1" applyNumberFormat="1" applyFill="1" applyBorder="1" applyAlignment="1">
      <alignment horizontal="right"/>
    </xf>
    <xf numFmtId="4" fontId="13" fillId="7" borderId="7" xfId="1" applyNumberFormat="1" applyFont="1" applyFill="1" applyBorder="1" applyAlignment="1">
      <alignment horizontal="right"/>
    </xf>
    <xf numFmtId="4" fontId="13" fillId="3" borderId="7" xfId="1" applyNumberFormat="1" applyFont="1" applyFill="1" applyBorder="1" applyAlignment="1">
      <alignment horizontal="right"/>
    </xf>
    <xf numFmtId="0" fontId="4" fillId="0" borderId="6" xfId="1" applyBorder="1" applyAlignment="1">
      <alignment vertical="center" wrapText="1"/>
    </xf>
    <xf numFmtId="0" fontId="4" fillId="0" borderId="7" xfId="1" applyBorder="1" applyAlignment="1">
      <alignment vertical="center" wrapText="1"/>
    </xf>
    <xf numFmtId="4" fontId="21" fillId="0" borderId="7" xfId="1" applyNumberFormat="1" applyFont="1" applyBorder="1"/>
    <xf numFmtId="4" fontId="21" fillId="2" borderId="7" xfId="1" applyNumberFormat="1" applyFont="1" applyFill="1" applyBorder="1"/>
    <xf numFmtId="0" fontId="1" fillId="2" borderId="0" xfId="0" applyFont="1" applyFill="1"/>
    <xf numFmtId="0" fontId="2" fillId="2" borderId="0" xfId="0" applyFont="1" applyFill="1"/>
    <xf numFmtId="0" fontId="3" fillId="0" borderId="0" xfId="0" applyFont="1"/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4" fontId="4" fillId="2" borderId="10" xfId="1" applyNumberFormat="1" applyFill="1" applyBorder="1" applyAlignment="1">
      <alignment wrapText="1"/>
    </xf>
    <xf numFmtId="4" fontId="7" fillId="12" borderId="7" xfId="1" applyNumberFormat="1" applyFont="1" applyFill="1" applyBorder="1"/>
    <xf numFmtId="4" fontId="7" fillId="12" borderId="10" xfId="1" applyNumberFormat="1" applyFont="1" applyFill="1" applyBorder="1"/>
    <xf numFmtId="4" fontId="7" fillId="2" borderId="0" xfId="1" applyNumberFormat="1" applyFont="1" applyFill="1"/>
    <xf numFmtId="0" fontId="1" fillId="0" borderId="0" xfId="0" applyFont="1" applyAlignment="1">
      <alignment wrapText="1"/>
    </xf>
    <xf numFmtId="0" fontId="6" fillId="2" borderId="0" xfId="1" applyFont="1" applyFill="1" applyAlignment="1">
      <alignment horizontal="center"/>
    </xf>
    <xf numFmtId="4" fontId="11" fillId="2" borderId="0" xfId="1" applyNumberFormat="1" applyFont="1" applyFill="1" applyAlignment="1">
      <alignment horizontal="center"/>
    </xf>
    <xf numFmtId="4" fontId="6" fillId="2" borderId="0" xfId="1" applyNumberFormat="1" applyFont="1" applyFill="1" applyAlignment="1">
      <alignment horizontal="center"/>
    </xf>
    <xf numFmtId="4" fontId="7" fillId="0" borderId="8" xfId="1" applyNumberFormat="1" applyFont="1" applyBorder="1" applyAlignment="1">
      <alignment horizontal="center" vertical="center" wrapText="1"/>
    </xf>
    <xf numFmtId="4" fontId="9" fillId="2" borderId="0" xfId="1" applyNumberFormat="1" applyFont="1" applyFill="1" applyAlignment="1">
      <alignment horizontal="center" vertical="center"/>
    </xf>
    <xf numFmtId="4" fontId="5" fillId="2" borderId="0" xfId="1" applyNumberFormat="1" applyFont="1" applyFill="1" applyAlignment="1">
      <alignment horizontal="center" vertical="center"/>
    </xf>
    <xf numFmtId="4" fontId="6" fillId="2" borderId="0" xfId="1" applyNumberFormat="1" applyFont="1" applyFill="1" applyAlignment="1">
      <alignment horizontal="center" vertical="center"/>
    </xf>
    <xf numFmtId="4" fontId="7" fillId="0" borderId="7" xfId="1" applyNumberFormat="1" applyFont="1" applyBorder="1" applyAlignment="1">
      <alignment horizontal="center" vertical="center" wrapText="1"/>
    </xf>
    <xf numFmtId="4" fontId="7" fillId="2" borderId="8" xfId="1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wrapText="1"/>
    </xf>
    <xf numFmtId="4" fontId="8" fillId="8" borderId="0" xfId="1" applyNumberFormat="1" applyFont="1" applyFill="1"/>
    <xf numFmtId="4" fontId="4" fillId="8" borderId="0" xfId="1" applyNumberFormat="1" applyFill="1"/>
    <xf numFmtId="4" fontId="7" fillId="8" borderId="0" xfId="1" applyNumberFormat="1" applyFont="1" applyFill="1"/>
    <xf numFmtId="4" fontId="13" fillId="8" borderId="0" xfId="1" applyNumberFormat="1" applyFont="1" applyFill="1"/>
    <xf numFmtId="49" fontId="4" fillId="2" borderId="7" xfId="1" applyNumberFormat="1" applyFill="1" applyBorder="1" applyAlignment="1">
      <alignment horizontal="center" wrapText="1"/>
    </xf>
    <xf numFmtId="4" fontId="13" fillId="8" borderId="7" xfId="1" applyNumberFormat="1" applyFont="1" applyFill="1" applyBorder="1"/>
    <xf numFmtId="4" fontId="4" fillId="8" borderId="9" xfId="1" applyNumberFormat="1" applyFill="1" applyBorder="1"/>
    <xf numFmtId="4" fontId="13" fillId="3" borderId="10" xfId="1" applyNumberFormat="1" applyFont="1" applyFill="1" applyBorder="1"/>
    <xf numFmtId="0" fontId="3" fillId="0" borderId="11" xfId="0" applyFont="1" applyBorder="1" applyAlignment="1">
      <alignment horizontal="left" wrapText="1"/>
    </xf>
    <xf numFmtId="49" fontId="6" fillId="8" borderId="7" xfId="1" applyNumberFormat="1" applyFont="1" applyFill="1" applyBorder="1" applyAlignment="1">
      <alignment horizontal="center" wrapText="1"/>
    </xf>
    <xf numFmtId="49" fontId="6" fillId="8" borderId="7" xfId="1" applyNumberFormat="1" applyFont="1" applyFill="1" applyBorder="1" applyAlignment="1">
      <alignment horizontal="center"/>
    </xf>
    <xf numFmtId="49" fontId="4" fillId="8" borderId="7" xfId="1" applyNumberFormat="1" applyFill="1" applyBorder="1" applyAlignment="1">
      <alignment horizontal="center"/>
    </xf>
    <xf numFmtId="4" fontId="14" fillId="3" borderId="7" xfId="1" applyNumberFormat="1" applyFont="1" applyFill="1" applyBorder="1"/>
    <xf numFmtId="4" fontId="14" fillId="8" borderId="7" xfId="1" applyNumberFormat="1" applyFont="1" applyFill="1" applyBorder="1"/>
    <xf numFmtId="4" fontId="4" fillId="8" borderId="7" xfId="1" applyNumberFormat="1" applyFill="1" applyBorder="1"/>
    <xf numFmtId="4" fontId="12" fillId="3" borderId="7" xfId="1" applyNumberFormat="1" applyFont="1" applyFill="1" applyBorder="1"/>
    <xf numFmtId="4" fontId="4" fillId="2" borderId="14" xfId="1" applyNumberFormat="1" applyFill="1" applyBorder="1"/>
    <xf numFmtId="49" fontId="10" fillId="10" borderId="7" xfId="1" applyNumberFormat="1" applyFont="1" applyFill="1" applyBorder="1" applyAlignment="1">
      <alignment horizontal="center"/>
    </xf>
    <xf numFmtId="49" fontId="10" fillId="9" borderId="7" xfId="1" applyNumberFormat="1" applyFont="1" applyFill="1" applyBorder="1" applyAlignment="1">
      <alignment horizontal="center"/>
    </xf>
    <xf numFmtId="49" fontId="13" fillId="10" borderId="7" xfId="1" applyNumberFormat="1" applyFont="1" applyFill="1" applyBorder="1" applyAlignment="1">
      <alignment horizontal="center"/>
    </xf>
    <xf numFmtId="4" fontId="13" fillId="9" borderId="7" xfId="1" applyNumberFormat="1" applyFont="1" applyFill="1" applyBorder="1"/>
    <xf numFmtId="4" fontId="13" fillId="10" borderId="7" xfId="1" applyNumberFormat="1" applyFont="1" applyFill="1" applyBorder="1"/>
    <xf numFmtId="4" fontId="13" fillId="10" borderId="10" xfId="1" applyNumberFormat="1" applyFont="1" applyFill="1" applyBorder="1"/>
    <xf numFmtId="0" fontId="8" fillId="10" borderId="6" xfId="1" applyFont="1" applyFill="1" applyBorder="1" applyAlignment="1">
      <alignment wrapText="1"/>
    </xf>
    <xf numFmtId="49" fontId="10" fillId="3" borderId="7" xfId="1" applyNumberFormat="1" applyFont="1" applyFill="1" applyBorder="1" applyAlignment="1">
      <alignment horizontal="center"/>
    </xf>
    <xf numFmtId="4" fontId="13" fillId="8" borderId="10" xfId="1" applyNumberFormat="1" applyFont="1" applyFill="1" applyBorder="1"/>
    <xf numFmtId="4" fontId="7" fillId="2" borderId="10" xfId="1" applyNumberFormat="1" applyFont="1" applyFill="1" applyBorder="1"/>
    <xf numFmtId="1" fontId="7" fillId="2" borderId="6" xfId="1" applyNumberFormat="1" applyFont="1" applyFill="1" applyBorder="1" applyAlignment="1">
      <alignment horizontal="left" vertical="center" wrapText="1"/>
    </xf>
    <xf numFmtId="4" fontId="7" fillId="3" borderId="7" xfId="1" applyNumberFormat="1" applyFont="1" applyFill="1" applyBorder="1"/>
    <xf numFmtId="0" fontId="4" fillId="8" borderId="0" xfId="1" applyFill="1"/>
    <xf numFmtId="4" fontId="4" fillId="8" borderId="0" xfId="1" applyNumberFormat="1" applyFill="1" applyAlignment="1">
      <alignment wrapText="1"/>
    </xf>
    <xf numFmtId="0" fontId="4" fillId="8" borderId="0" xfId="1" applyFill="1" applyAlignment="1">
      <alignment wrapText="1"/>
    </xf>
    <xf numFmtId="0" fontId="7" fillId="8" borderId="0" xfId="1" applyFont="1" applyFill="1"/>
    <xf numFmtId="0" fontId="13" fillId="8" borderId="0" xfId="1" applyFont="1" applyFill="1"/>
    <xf numFmtId="0" fontId="8" fillId="8" borderId="0" xfId="1" applyFont="1" applyFill="1"/>
    <xf numFmtId="16" fontId="4" fillId="8" borderId="0" xfId="1" applyNumberFormat="1" applyFill="1"/>
    <xf numFmtId="4" fontId="7" fillId="8" borderId="0" xfId="1" applyNumberFormat="1" applyFont="1" applyFill="1" applyAlignment="1">
      <alignment horizontal="center"/>
    </xf>
    <xf numFmtId="0" fontId="7" fillId="8" borderId="0" xfId="1" applyFont="1" applyFill="1" applyAlignment="1">
      <alignment horizontal="center"/>
    </xf>
    <xf numFmtId="0" fontId="11" fillId="8" borderId="0" xfId="1" applyFont="1" applyFill="1"/>
    <xf numFmtId="0" fontId="10" fillId="8" borderId="0" xfId="1" applyFont="1" applyFill="1"/>
    <xf numFmtId="0" fontId="6" fillId="8" borderId="0" xfId="1" applyFont="1" applyFill="1"/>
    <xf numFmtId="0" fontId="8" fillId="8" borderId="0" xfId="1" applyFont="1" applyFill="1" applyAlignment="1">
      <alignment horizontal="center"/>
    </xf>
    <xf numFmtId="4" fontId="4" fillId="3" borderId="0" xfId="1" applyNumberFormat="1" applyFill="1"/>
    <xf numFmtId="0" fontId="4" fillId="3" borderId="6" xfId="1" applyFill="1" applyBorder="1" applyAlignment="1">
      <alignment vertical="center" wrapText="1"/>
    </xf>
    <xf numFmtId="0" fontId="4" fillId="3" borderId="0" xfId="1" applyFill="1"/>
    <xf numFmtId="4" fontId="13" fillId="3" borderId="0" xfId="1" applyNumberFormat="1" applyFont="1" applyFill="1"/>
    <xf numFmtId="0" fontId="13" fillId="3" borderId="0" xfId="1" applyFont="1" applyFill="1"/>
    <xf numFmtId="4" fontId="8" fillId="3" borderId="13" xfId="1" applyNumberFormat="1" applyFont="1" applyFill="1" applyBorder="1" applyAlignment="1" applyProtection="1">
      <alignment horizontal="right"/>
      <protection locked="0"/>
    </xf>
    <xf numFmtId="4" fontId="14" fillId="3" borderId="7" xfId="1" applyNumberFormat="1" applyFont="1" applyFill="1" applyBorder="1" applyAlignment="1">
      <alignment horizontal="right"/>
    </xf>
    <xf numFmtId="1" fontId="6" fillId="8" borderId="7" xfId="1" applyNumberFormat="1" applyFont="1" applyFill="1" applyBorder="1" applyAlignment="1">
      <alignment horizontal="center" vertical="center" wrapText="1"/>
    </xf>
    <xf numFmtId="0" fontId="26" fillId="0" borderId="7" xfId="0" applyFont="1" applyBorder="1" applyAlignment="1">
      <alignment vertical="top" wrapText="1"/>
    </xf>
    <xf numFmtId="4" fontId="4" fillId="9" borderId="7" xfId="1" applyNumberFormat="1" applyFill="1" applyBorder="1"/>
    <xf numFmtId="0" fontId="4" fillId="10" borderId="0" xfId="1" applyFill="1"/>
    <xf numFmtId="1" fontId="4" fillId="14" borderId="6" xfId="1" applyNumberFormat="1" applyFill="1" applyBorder="1" applyAlignment="1">
      <alignment wrapText="1"/>
    </xf>
    <xf numFmtId="1" fontId="6" fillId="14" borderId="7" xfId="1" applyNumberFormat="1" applyFont="1" applyFill="1" applyBorder="1" applyAlignment="1">
      <alignment horizontal="center" wrapText="1"/>
    </xf>
    <xf numFmtId="49" fontId="6" fillId="14" borderId="7" xfId="1" applyNumberFormat="1" applyFont="1" applyFill="1" applyBorder="1" applyAlignment="1">
      <alignment horizontal="center"/>
    </xf>
    <xf numFmtId="49" fontId="4" fillId="14" borderId="7" xfId="1" applyNumberFormat="1" applyFill="1" applyBorder="1" applyAlignment="1">
      <alignment horizontal="center"/>
    </xf>
    <xf numFmtId="1" fontId="6" fillId="8" borderId="7" xfId="1" applyNumberFormat="1" applyFont="1" applyFill="1" applyBorder="1" applyAlignment="1">
      <alignment horizontal="center" wrapText="1"/>
    </xf>
    <xf numFmtId="49" fontId="23" fillId="8" borderId="7" xfId="1" applyNumberFormat="1" applyFont="1" applyFill="1" applyBorder="1" applyAlignment="1">
      <alignment horizontal="center"/>
    </xf>
    <xf numFmtId="1" fontId="7" fillId="6" borderId="6" xfId="1" applyNumberFormat="1" applyFont="1" applyFill="1" applyBorder="1" applyAlignment="1">
      <alignment horizontal="left" vertical="center" wrapText="1"/>
    </xf>
    <xf numFmtId="4" fontId="7" fillId="6" borderId="10" xfId="1" applyNumberFormat="1" applyFont="1" applyFill="1" applyBorder="1"/>
    <xf numFmtId="0" fontId="7" fillId="3" borderId="6" xfId="1" applyFont="1" applyFill="1" applyBorder="1" applyAlignment="1">
      <alignment vertical="center" wrapText="1"/>
    </xf>
    <xf numFmtId="4" fontId="10" fillId="3" borderId="7" xfId="1" applyNumberFormat="1" applyFont="1" applyFill="1" applyBorder="1"/>
    <xf numFmtId="4" fontId="7" fillId="3" borderId="7" xfId="1" applyNumberFormat="1" applyFont="1" applyFill="1" applyBorder="1" applyAlignment="1">
      <alignment horizontal="right" vertical="center"/>
    </xf>
    <xf numFmtId="4" fontId="10" fillId="3" borderId="7" xfId="1" applyNumberFormat="1" applyFont="1" applyFill="1" applyBorder="1" applyAlignment="1">
      <alignment horizontal="right"/>
    </xf>
    <xf numFmtId="4" fontId="11" fillId="3" borderId="7" xfId="1" applyNumberFormat="1" applyFont="1" applyFill="1" applyBorder="1"/>
    <xf numFmtId="4" fontId="7" fillId="3" borderId="7" xfId="1" applyNumberFormat="1" applyFont="1" applyFill="1" applyBorder="1" applyAlignment="1">
      <alignment horizontal="right"/>
    </xf>
    <xf numFmtId="4" fontId="9" fillId="3" borderId="7" xfId="1" applyNumberFormat="1" applyFont="1" applyFill="1" applyBorder="1" applyAlignment="1">
      <alignment horizontal="right"/>
    </xf>
    <xf numFmtId="49" fontId="6" fillId="10" borderId="7" xfId="1" applyNumberFormat="1" applyFont="1" applyFill="1" applyBorder="1" applyAlignment="1">
      <alignment horizontal="center"/>
    </xf>
    <xf numFmtId="4" fontId="4" fillId="10" borderId="7" xfId="1" applyNumberFormat="1" applyFill="1" applyBorder="1"/>
    <xf numFmtId="4" fontId="4" fillId="10" borderId="9" xfId="1" applyNumberFormat="1" applyFill="1" applyBorder="1"/>
    <xf numFmtId="4" fontId="4" fillId="0" borderId="9" xfId="1" applyNumberFormat="1" applyBorder="1"/>
    <xf numFmtId="4" fontId="8" fillId="8" borderId="7" xfId="1" applyNumberFormat="1" applyFont="1" applyFill="1" applyBorder="1"/>
    <xf numFmtId="4" fontId="8" fillId="8" borderId="9" xfId="1" applyNumberFormat="1" applyFont="1" applyFill="1" applyBorder="1"/>
    <xf numFmtId="4" fontId="8" fillId="8" borderId="10" xfId="1" applyNumberFormat="1" applyFont="1" applyFill="1" applyBorder="1"/>
    <xf numFmtId="4" fontId="9" fillId="3" borderId="7" xfId="1" applyNumberFormat="1" applyFont="1" applyFill="1" applyBorder="1"/>
    <xf numFmtId="4" fontId="9" fillId="8" borderId="7" xfId="1" applyNumberFormat="1" applyFont="1" applyFill="1" applyBorder="1"/>
    <xf numFmtId="4" fontId="9" fillId="8" borderId="9" xfId="1" applyNumberFormat="1" applyFont="1" applyFill="1" applyBorder="1"/>
    <xf numFmtId="4" fontId="4" fillId="8" borderId="10" xfId="1" applyNumberFormat="1" applyFill="1" applyBorder="1"/>
    <xf numFmtId="4" fontId="10" fillId="8" borderId="7" xfId="1" applyNumberFormat="1" applyFont="1" applyFill="1" applyBorder="1"/>
    <xf numFmtId="4" fontId="8" fillId="8" borderId="7" xfId="1" applyNumberFormat="1" applyFont="1" applyFill="1" applyBorder="1" applyAlignment="1">
      <alignment horizontal="center"/>
    </xf>
    <xf numFmtId="4" fontId="8" fillId="8" borderId="10" xfId="1" applyNumberFormat="1" applyFont="1" applyFill="1" applyBorder="1" applyAlignment="1">
      <alignment horizontal="center"/>
    </xf>
    <xf numFmtId="4" fontId="7" fillId="8" borderId="7" xfId="1" applyNumberFormat="1" applyFont="1" applyFill="1" applyBorder="1"/>
    <xf numFmtId="4" fontId="7" fillId="8" borderId="9" xfId="1" applyNumberFormat="1" applyFont="1" applyFill="1" applyBorder="1"/>
    <xf numFmtId="4" fontId="14" fillId="8" borderId="9" xfId="1" applyNumberFormat="1" applyFont="1" applyFill="1" applyBorder="1"/>
    <xf numFmtId="49" fontId="6" fillId="3" borderId="7" xfId="1" applyNumberFormat="1" applyFont="1" applyFill="1" applyBorder="1" applyAlignment="1">
      <alignment horizontal="center"/>
    </xf>
    <xf numFmtId="49" fontId="11" fillId="3" borderId="7" xfId="1" applyNumberFormat="1" applyFont="1" applyFill="1" applyBorder="1" applyAlignment="1">
      <alignment horizontal="center" vertical="center"/>
    </xf>
    <xf numFmtId="49" fontId="10" fillId="3" borderId="7" xfId="1" applyNumberFormat="1" applyFont="1" applyFill="1" applyBorder="1" applyAlignment="1">
      <alignment horizontal="center" vertical="center"/>
    </xf>
    <xf numFmtId="4" fontId="4" fillId="3" borderId="11" xfId="1" applyNumberFormat="1" applyFill="1" applyBorder="1" applyAlignment="1">
      <alignment horizontal="right"/>
    </xf>
    <xf numFmtId="4" fontId="4" fillId="8" borderId="7" xfId="1" applyNumberFormat="1" applyFill="1" applyBorder="1" applyAlignment="1">
      <alignment wrapText="1"/>
    </xf>
    <xf numFmtId="4" fontId="11" fillId="8" borderId="7" xfId="1" applyNumberFormat="1" applyFont="1" applyFill="1" applyBorder="1"/>
    <xf numFmtId="4" fontId="6" fillId="8" borderId="7" xfId="1" applyNumberFormat="1" applyFont="1" applyFill="1" applyBorder="1"/>
    <xf numFmtId="4" fontId="4" fillId="4" borderId="7" xfId="1" applyNumberFormat="1" applyFill="1" applyBorder="1"/>
    <xf numFmtId="4" fontId="7" fillId="4" borderId="7" xfId="1" applyNumberFormat="1" applyFont="1" applyFill="1" applyBorder="1"/>
    <xf numFmtId="4" fontId="13" fillId="4" borderId="7" xfId="1" applyNumberFormat="1" applyFont="1" applyFill="1" applyBorder="1"/>
    <xf numFmtId="4" fontId="4" fillId="6" borderId="7" xfId="1" applyNumberFormat="1" applyFill="1" applyBorder="1"/>
    <xf numFmtId="4" fontId="7" fillId="6" borderId="7" xfId="1" applyNumberFormat="1" applyFont="1" applyFill="1" applyBorder="1"/>
    <xf numFmtId="4" fontId="7" fillId="6" borderId="7" xfId="1" applyNumberFormat="1" applyFont="1" applyFill="1" applyBorder="1" applyAlignment="1">
      <alignment horizontal="center"/>
    </xf>
    <xf numFmtId="4" fontId="8" fillId="3" borderId="0" xfId="1" applyNumberFormat="1" applyFont="1" applyFill="1" applyAlignment="1">
      <alignment horizontal="right"/>
    </xf>
    <xf numFmtId="4" fontId="8" fillId="3" borderId="0" xfId="1" applyNumberFormat="1" applyFont="1" applyFill="1"/>
    <xf numFmtId="4" fontId="7" fillId="3" borderId="0" xfId="1" applyNumberFormat="1" applyFont="1" applyFill="1"/>
    <xf numFmtId="4" fontId="7" fillId="3" borderId="0" xfId="1" applyNumberFormat="1" applyFont="1" applyFill="1" applyAlignment="1">
      <alignment horizontal="right" vertical="center"/>
    </xf>
    <xf numFmtId="4" fontId="4" fillId="3" borderId="0" xfId="1" applyNumberFormat="1" applyFill="1" applyAlignment="1">
      <alignment horizontal="right"/>
    </xf>
    <xf numFmtId="4" fontId="10" fillId="3" borderId="0" xfId="1" applyNumberFormat="1" applyFont="1" applyFill="1" applyAlignment="1">
      <alignment horizontal="right"/>
    </xf>
    <xf numFmtId="4" fontId="14" fillId="3" borderId="0" xfId="1" applyNumberFormat="1" applyFont="1" applyFill="1"/>
    <xf numFmtId="4" fontId="8" fillId="3" borderId="0" xfId="1" applyNumberFormat="1" applyFont="1" applyFill="1" applyAlignment="1">
      <alignment horizontal="right" vertical="center"/>
    </xf>
    <xf numFmtId="4" fontId="11" fillId="3" borderId="0" xfId="1" applyNumberFormat="1" applyFont="1" applyFill="1"/>
    <xf numFmtId="4" fontId="11" fillId="3" borderId="0" xfId="1" applyNumberFormat="1" applyFont="1" applyFill="1" applyAlignment="1">
      <alignment horizontal="right"/>
    </xf>
    <xf numFmtId="4" fontId="7" fillId="3" borderId="0" xfId="1" applyNumberFormat="1" applyFont="1" applyFill="1" applyAlignment="1">
      <alignment horizontal="right"/>
    </xf>
    <xf numFmtId="4" fontId="15" fillId="3" borderId="0" xfId="1" applyNumberFormat="1" applyFont="1" applyFill="1" applyAlignment="1">
      <alignment horizontal="right"/>
    </xf>
    <xf numFmtId="4" fontId="16" fillId="3" borderId="0" xfId="1" applyNumberFormat="1" applyFont="1" applyFill="1" applyAlignment="1">
      <alignment horizontal="right"/>
    </xf>
    <xf numFmtId="4" fontId="13" fillId="3" borderId="0" xfId="1" applyNumberFormat="1" applyFont="1" applyFill="1" applyAlignment="1">
      <alignment horizontal="right"/>
    </xf>
    <xf numFmtId="4" fontId="15" fillId="3" borderId="0" xfId="1" applyNumberFormat="1" applyFont="1" applyFill="1"/>
    <xf numFmtId="4" fontId="13" fillId="3" borderId="0" xfId="1" applyNumberFormat="1" applyFont="1" applyFill="1" applyAlignment="1">
      <alignment wrapText="1"/>
    </xf>
    <xf numFmtId="4" fontId="8" fillId="3" borderId="0" xfId="1" applyNumberFormat="1" applyFont="1" applyFill="1" applyAlignment="1" applyProtection="1">
      <alignment horizontal="right"/>
      <protection locked="0"/>
    </xf>
    <xf numFmtId="4" fontId="9" fillId="3" borderId="0" xfId="1" applyNumberFormat="1" applyFont="1" applyFill="1" applyAlignment="1">
      <alignment horizontal="right"/>
    </xf>
    <xf numFmtId="4" fontId="10" fillId="3" borderId="0" xfId="1" applyNumberFormat="1" applyFont="1" applyFill="1"/>
    <xf numFmtId="4" fontId="7" fillId="3" borderId="8" xfId="1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wrapText="1"/>
    </xf>
    <xf numFmtId="0" fontId="6" fillId="8" borderId="0" xfId="1" applyFont="1" applyFill="1" applyAlignment="1">
      <alignment horizontal="center"/>
    </xf>
    <xf numFmtId="0" fontId="1" fillId="8" borderId="0" xfId="0" applyFont="1" applyFill="1"/>
    <xf numFmtId="0" fontId="2" fillId="8" borderId="0" xfId="0" applyFont="1" applyFill="1"/>
    <xf numFmtId="0" fontId="3" fillId="3" borderId="0" xfId="0" applyFont="1" applyFill="1"/>
    <xf numFmtId="0" fontId="4" fillId="8" borderId="0" xfId="1" applyFill="1" applyAlignment="1">
      <alignment horizontal="right"/>
    </xf>
    <xf numFmtId="0" fontId="2" fillId="8" borderId="0" xfId="0" applyFont="1" applyFill="1" applyAlignment="1">
      <alignment horizontal="left"/>
    </xf>
    <xf numFmtId="4" fontId="2" fillId="8" borderId="0" xfId="0" applyNumberFormat="1" applyFont="1" applyFill="1"/>
    <xf numFmtId="0" fontId="1" fillId="8" borderId="0" xfId="0" applyFont="1" applyFill="1" applyAlignment="1">
      <alignment horizontal="left"/>
    </xf>
    <xf numFmtId="0" fontId="1" fillId="3" borderId="0" xfId="0" applyFont="1" applyFill="1" applyAlignment="1">
      <alignment wrapText="1"/>
    </xf>
    <xf numFmtId="0" fontId="4" fillId="8" borderId="0" xfId="1" applyFill="1" applyAlignment="1">
      <alignment horizontal="center"/>
    </xf>
    <xf numFmtId="0" fontId="2" fillId="8" borderId="0" xfId="0" applyFont="1" applyFill="1" applyAlignment="1">
      <alignment horizontal="center"/>
    </xf>
    <xf numFmtId="0" fontId="1" fillId="3" borderId="0" xfId="0" applyFont="1" applyFill="1" applyAlignment="1">
      <alignment horizontal="right"/>
    </xf>
    <xf numFmtId="0" fontId="3" fillId="8" borderId="0" xfId="0" applyFont="1" applyFill="1"/>
    <xf numFmtId="4" fontId="7" fillId="3" borderId="7" xfId="1" applyNumberFormat="1" applyFont="1" applyFill="1" applyBorder="1" applyAlignment="1">
      <alignment horizontal="right" vertical="center" wrapText="1"/>
    </xf>
    <xf numFmtId="2" fontId="7" fillId="3" borderId="8" xfId="1" applyNumberFormat="1" applyFont="1" applyFill="1" applyBorder="1" applyAlignment="1">
      <alignment horizontal="center" vertical="center" wrapText="1"/>
    </xf>
    <xf numFmtId="4" fontId="8" fillId="3" borderId="7" xfId="1" applyNumberFormat="1" applyFont="1" applyFill="1" applyBorder="1" applyAlignment="1">
      <alignment horizontal="right" vertical="center"/>
    </xf>
    <xf numFmtId="4" fontId="11" fillId="3" borderId="7" xfId="1" applyNumberFormat="1" applyFont="1" applyFill="1" applyBorder="1" applyAlignment="1">
      <alignment horizontal="right"/>
    </xf>
    <xf numFmtId="4" fontId="15" fillId="3" borderId="7" xfId="1" applyNumberFormat="1" applyFont="1" applyFill="1" applyBorder="1" applyAlignment="1">
      <alignment horizontal="right"/>
    </xf>
    <xf numFmtId="4" fontId="16" fillId="3" borderId="7" xfId="1" applyNumberFormat="1" applyFont="1" applyFill="1" applyBorder="1" applyAlignment="1">
      <alignment horizontal="right"/>
    </xf>
    <xf numFmtId="4" fontId="15" fillId="3" borderId="7" xfId="1" applyNumberFormat="1" applyFont="1" applyFill="1" applyBorder="1"/>
    <xf numFmtId="4" fontId="13" fillId="3" borderId="7" xfId="1" applyNumberFormat="1" applyFont="1" applyFill="1" applyBorder="1" applyAlignment="1">
      <alignment horizontal="right" wrapText="1"/>
    </xf>
    <xf numFmtId="4" fontId="13" fillId="3" borderId="7" xfId="1" applyNumberFormat="1" applyFont="1" applyFill="1" applyBorder="1" applyAlignment="1">
      <alignment wrapText="1"/>
    </xf>
    <xf numFmtId="4" fontId="8" fillId="3" borderId="7" xfId="1" applyNumberFormat="1" applyFont="1" applyFill="1" applyBorder="1" applyAlignment="1" applyProtection="1">
      <alignment horizontal="right"/>
      <protection locked="0"/>
    </xf>
    <xf numFmtId="4" fontId="22" fillId="3" borderId="0" xfId="1" applyNumberFormat="1" applyFont="1" applyFill="1" applyAlignment="1">
      <alignment horizontal="right"/>
    </xf>
    <xf numFmtId="0" fontId="20" fillId="3" borderId="0" xfId="1" applyFont="1" applyFill="1"/>
    <xf numFmtId="0" fontId="8" fillId="3" borderId="0" xfId="1" applyFont="1" applyFill="1"/>
    <xf numFmtId="0" fontId="4" fillId="3" borderId="0" xfId="1" applyFill="1" applyAlignment="1">
      <alignment horizontal="right"/>
    </xf>
    <xf numFmtId="0" fontId="7" fillId="3" borderId="0" xfId="1" applyFont="1" applyFill="1" applyAlignment="1">
      <alignment horizontal="right"/>
    </xf>
    <xf numFmtId="0" fontId="7" fillId="3" borderId="0" xfId="1" applyFont="1" applyFill="1"/>
    <xf numFmtId="0" fontId="13" fillId="8" borderId="0" xfId="1" applyFont="1" applyFill="1" applyAlignment="1">
      <alignment horizontal="right"/>
    </xf>
    <xf numFmtId="4" fontId="7" fillId="5" borderId="7" xfId="1" applyNumberFormat="1" applyFont="1" applyFill="1" applyBorder="1"/>
    <xf numFmtId="4" fontId="7" fillId="0" borderId="7" xfId="1" applyNumberFormat="1" applyFont="1" applyBorder="1" applyAlignment="1">
      <alignment horizontal="right"/>
    </xf>
    <xf numFmtId="4" fontId="8" fillId="0" borderId="7" xfId="1" applyNumberFormat="1" applyFont="1" applyBorder="1" applyAlignment="1">
      <alignment horizontal="right"/>
    </xf>
    <xf numFmtId="4" fontId="14" fillId="0" borderId="7" xfId="1" applyNumberFormat="1" applyFont="1" applyBorder="1" applyAlignment="1">
      <alignment horizontal="right"/>
    </xf>
    <xf numFmtId="4" fontId="8" fillId="0" borderId="7" xfId="1" applyNumberFormat="1" applyFont="1" applyBorder="1" applyAlignment="1">
      <alignment horizontal="right" vertical="center"/>
    </xf>
    <xf numFmtId="4" fontId="11" fillId="0" borderId="7" xfId="1" applyNumberFormat="1" applyFont="1" applyBorder="1" applyAlignment="1">
      <alignment horizontal="right"/>
    </xf>
    <xf numFmtId="4" fontId="15" fillId="0" borderId="7" xfId="1" applyNumberFormat="1" applyFont="1" applyBorder="1" applyAlignment="1">
      <alignment horizontal="right"/>
    </xf>
    <xf numFmtId="4" fontId="21" fillId="0" borderId="7" xfId="1" applyNumberFormat="1" applyFont="1" applyBorder="1" applyAlignment="1">
      <alignment horizontal="right"/>
    </xf>
    <xf numFmtId="4" fontId="8" fillId="15" borderId="7" xfId="1" applyNumberFormat="1" applyFont="1" applyFill="1" applyBorder="1" applyAlignment="1">
      <alignment horizontal="right"/>
    </xf>
    <xf numFmtId="4" fontId="15" fillId="15" borderId="7" xfId="1" applyNumberFormat="1" applyFont="1" applyFill="1" applyBorder="1" applyAlignment="1">
      <alignment horizontal="right"/>
    </xf>
    <xf numFmtId="0" fontId="10" fillId="3" borderId="7" xfId="1" applyFont="1" applyFill="1" applyBorder="1" applyAlignment="1">
      <alignment horizontal="center" vertical="center" wrapText="1"/>
    </xf>
    <xf numFmtId="49" fontId="10" fillId="3" borderId="7" xfId="1" applyNumberFormat="1" applyFont="1" applyFill="1" applyBorder="1" applyAlignment="1">
      <alignment horizontal="center" wrapText="1"/>
    </xf>
    <xf numFmtId="49" fontId="13" fillId="3" borderId="7" xfId="1" applyNumberFormat="1" applyFont="1" applyFill="1" applyBorder="1" applyAlignment="1">
      <alignment horizontal="center" wrapText="1"/>
    </xf>
    <xf numFmtId="4" fontId="4" fillId="3" borderId="7" xfId="1" applyNumberFormat="1" applyFill="1" applyBorder="1" applyAlignment="1">
      <alignment wrapText="1"/>
    </xf>
    <xf numFmtId="4" fontId="13" fillId="8" borderId="7" xfId="1" applyNumberFormat="1" applyFont="1" applyFill="1" applyBorder="1" applyAlignment="1">
      <alignment wrapText="1"/>
    </xf>
    <xf numFmtId="4" fontId="4" fillId="8" borderId="9" xfId="1" applyNumberFormat="1" applyFill="1" applyBorder="1" applyAlignment="1">
      <alignment wrapText="1"/>
    </xf>
    <xf numFmtId="49" fontId="11" fillId="0" borderId="7" xfId="1" applyNumberFormat="1" applyFont="1" applyBorder="1" applyAlignment="1">
      <alignment horizontal="center" wrapText="1"/>
    </xf>
    <xf numFmtId="49" fontId="7" fillId="0" borderId="7" xfId="1" applyNumberFormat="1" applyFont="1" applyBorder="1" applyAlignment="1">
      <alignment horizontal="center" wrapText="1"/>
    </xf>
    <xf numFmtId="49" fontId="10" fillId="8" borderId="7" xfId="1" applyNumberFormat="1" applyFont="1" applyFill="1" applyBorder="1" applyAlignment="1">
      <alignment horizontal="center" wrapText="1"/>
    </xf>
    <xf numFmtId="49" fontId="11" fillId="8" borderId="7" xfId="1" applyNumberFormat="1" applyFont="1" applyFill="1" applyBorder="1" applyAlignment="1">
      <alignment horizontal="center" wrapText="1"/>
    </xf>
    <xf numFmtId="49" fontId="7" fillId="8" borderId="7" xfId="1" applyNumberFormat="1" applyFont="1" applyFill="1" applyBorder="1" applyAlignment="1">
      <alignment horizontal="center"/>
    </xf>
    <xf numFmtId="4" fontId="15" fillId="8" borderId="7" xfId="1" applyNumberFormat="1" applyFont="1" applyFill="1" applyBorder="1"/>
    <xf numFmtId="0" fontId="9" fillId="8" borderId="7" xfId="1" applyFont="1" applyFill="1" applyBorder="1" applyAlignment="1">
      <alignment horizontal="center" vertical="center" wrapText="1"/>
    </xf>
    <xf numFmtId="4" fontId="0" fillId="0" borderId="0" xfId="0" applyNumberFormat="1"/>
    <xf numFmtId="49" fontId="0" fillId="0" borderId="0" xfId="0" applyNumberFormat="1"/>
    <xf numFmtId="0" fontId="29" fillId="0" borderId="0" xfId="0" applyFont="1"/>
    <xf numFmtId="4" fontId="29" fillId="0" borderId="0" xfId="0" applyNumberFormat="1" applyFont="1"/>
    <xf numFmtId="49" fontId="29" fillId="0" borderId="0" xfId="0" applyNumberFormat="1" applyFont="1" applyAlignment="1">
      <alignment horizontal="center"/>
    </xf>
    <xf numFmtId="49" fontId="29" fillId="0" borderId="7" xfId="0" applyNumberFormat="1" applyFont="1" applyBorder="1" applyAlignment="1">
      <alignment horizontal="left" vertical="center"/>
    </xf>
    <xf numFmtId="4" fontId="29" fillId="0" borderId="7" xfId="0" applyNumberFormat="1" applyFont="1" applyBorder="1" applyAlignment="1">
      <alignment vertical="center"/>
    </xf>
    <xf numFmtId="0" fontId="29" fillId="0" borderId="7" xfId="0" applyFont="1" applyBorder="1"/>
    <xf numFmtId="49" fontId="27" fillId="0" borderId="10" xfId="0" applyNumberFormat="1" applyFont="1" applyBorder="1"/>
    <xf numFmtId="4" fontId="27" fillId="0" borderId="15" xfId="0" applyNumberFormat="1" applyFont="1" applyBorder="1"/>
    <xf numFmtId="0" fontId="29" fillId="0" borderId="15" xfId="0" applyFont="1" applyBorder="1"/>
    <xf numFmtId="0" fontId="29" fillId="0" borderId="11" xfId="0" applyFont="1" applyBorder="1"/>
    <xf numFmtId="4" fontId="23" fillId="3" borderId="0" xfId="1" applyNumberFormat="1" applyFont="1" applyFill="1"/>
    <xf numFmtId="4" fontId="30" fillId="3" borderId="0" xfId="1" applyNumberFormat="1" applyFont="1" applyFill="1"/>
    <xf numFmtId="4" fontId="23" fillId="8" borderId="0" xfId="1" applyNumberFormat="1" applyFont="1" applyFill="1"/>
    <xf numFmtId="4" fontId="30" fillId="8" borderId="0" xfId="1" applyNumberFormat="1" applyFont="1" applyFill="1"/>
    <xf numFmtId="4" fontId="4" fillId="3" borderId="8" xfId="1" applyNumberFormat="1" applyFill="1" applyBorder="1"/>
    <xf numFmtId="49" fontId="9" fillId="3" borderId="7" xfId="1" applyNumberFormat="1" applyFont="1" applyFill="1" applyBorder="1" applyAlignment="1">
      <alignment horizontal="center"/>
    </xf>
    <xf numFmtId="0" fontId="6" fillId="8" borderId="7" xfId="1" applyFont="1" applyFill="1" applyBorder="1" applyAlignment="1">
      <alignment horizontal="center" vertical="center" wrapText="1"/>
    </xf>
    <xf numFmtId="49" fontId="4" fillId="8" borderId="6" xfId="1" applyNumberFormat="1" applyFill="1" applyBorder="1" applyAlignment="1">
      <alignment wrapText="1"/>
    </xf>
    <xf numFmtId="4" fontId="21" fillId="3" borderId="7" xfId="1" applyNumberFormat="1" applyFont="1" applyFill="1" applyBorder="1" applyAlignment="1">
      <alignment horizontal="right"/>
    </xf>
    <xf numFmtId="0" fontId="6" fillId="3" borderId="7" xfId="1" applyFont="1" applyFill="1" applyBorder="1" applyAlignment="1">
      <alignment horizontal="center" vertical="center" wrapText="1"/>
    </xf>
    <xf numFmtId="49" fontId="4" fillId="3" borderId="7" xfId="1" applyNumberFormat="1" applyFill="1" applyBorder="1" applyAlignment="1">
      <alignment horizontal="center"/>
    </xf>
    <xf numFmtId="1" fontId="11" fillId="3" borderId="7" xfId="1" applyNumberFormat="1" applyFont="1" applyFill="1" applyBorder="1" applyAlignment="1">
      <alignment vertical="center" wrapText="1"/>
    </xf>
    <xf numFmtId="0" fontId="11" fillId="3" borderId="7" xfId="1" applyFont="1" applyFill="1" applyBorder="1" applyAlignment="1">
      <alignment horizontal="center" vertical="center" wrapText="1"/>
    </xf>
    <xf numFmtId="4" fontId="11" fillId="3" borderId="7" xfId="1" applyNumberFormat="1" applyFont="1" applyFill="1" applyBorder="1" applyAlignment="1">
      <alignment horizontal="right" vertical="center"/>
    </xf>
    <xf numFmtId="1" fontId="6" fillId="3" borderId="7" xfId="1" applyNumberFormat="1" applyFont="1" applyFill="1" applyBorder="1" applyAlignment="1">
      <alignment vertical="center" wrapText="1"/>
    </xf>
    <xf numFmtId="49" fontId="6" fillId="3" borderId="7" xfId="1" applyNumberFormat="1" applyFont="1" applyFill="1" applyBorder="1" applyAlignment="1">
      <alignment horizontal="center" vertical="center"/>
    </xf>
    <xf numFmtId="0" fontId="8" fillId="3" borderId="6" xfId="1" applyFont="1" applyFill="1" applyBorder="1" applyAlignment="1">
      <alignment vertical="center" wrapText="1"/>
    </xf>
    <xf numFmtId="0" fontId="9" fillId="3" borderId="7" xfId="1" applyFont="1" applyFill="1" applyBorder="1" applyAlignment="1">
      <alignment horizontal="center" vertical="center" wrapText="1"/>
    </xf>
    <xf numFmtId="49" fontId="9" fillId="3" borderId="7" xfId="1" applyNumberFormat="1" applyFont="1" applyFill="1" applyBorder="1" applyAlignment="1">
      <alignment horizontal="center" vertical="center"/>
    </xf>
    <xf numFmtId="49" fontId="8" fillId="3" borderId="7" xfId="1" applyNumberFormat="1" applyFont="1" applyFill="1" applyBorder="1" applyAlignment="1">
      <alignment horizontal="center"/>
    </xf>
    <xf numFmtId="0" fontId="10" fillId="8" borderId="7" xfId="1" applyFont="1" applyFill="1" applyBorder="1" applyAlignment="1">
      <alignment horizontal="center" vertical="center" wrapText="1"/>
    </xf>
    <xf numFmtId="4" fontId="4" fillId="3" borderId="9" xfId="1" applyNumberFormat="1" applyFill="1" applyBorder="1"/>
    <xf numFmtId="4" fontId="7" fillId="10" borderId="0" xfId="1" applyNumberFormat="1" applyFont="1" applyFill="1"/>
    <xf numFmtId="0" fontId="8" fillId="4" borderId="6" xfId="1" applyFont="1" applyFill="1" applyBorder="1" applyAlignment="1">
      <alignment wrapText="1"/>
    </xf>
    <xf numFmtId="1" fontId="11" fillId="4" borderId="7" xfId="1" applyNumberFormat="1" applyFont="1" applyFill="1" applyBorder="1" applyAlignment="1">
      <alignment horizontal="center" wrapText="1"/>
    </xf>
    <xf numFmtId="49" fontId="11" fillId="4" borderId="7" xfId="1" applyNumberFormat="1" applyFont="1" applyFill="1" applyBorder="1" applyAlignment="1">
      <alignment horizontal="center"/>
    </xf>
    <xf numFmtId="49" fontId="7" fillId="4" borderId="7" xfId="1" applyNumberFormat="1" applyFont="1" applyFill="1" applyBorder="1" applyAlignment="1">
      <alignment horizontal="center"/>
    </xf>
    <xf numFmtId="4" fontId="7" fillId="5" borderId="10" xfId="1" applyNumberFormat="1" applyFont="1" applyFill="1" applyBorder="1"/>
    <xf numFmtId="4" fontId="7" fillId="5" borderId="7" xfId="1" applyNumberFormat="1" applyFont="1" applyFill="1" applyBorder="1" applyAlignment="1">
      <alignment horizontal="right"/>
    </xf>
    <xf numFmtId="0" fontId="9" fillId="4" borderId="7" xfId="1" applyFont="1" applyFill="1" applyBorder="1" applyAlignment="1">
      <alignment horizontal="center" wrapText="1"/>
    </xf>
    <xf numFmtId="49" fontId="6" fillId="4" borderId="7" xfId="1" applyNumberFormat="1" applyFont="1" applyFill="1" applyBorder="1" applyAlignment="1">
      <alignment horizontal="center"/>
    </xf>
    <xf numFmtId="49" fontId="6" fillId="8" borderId="7" xfId="1" applyNumberFormat="1" applyFont="1" applyFill="1" applyBorder="1" applyAlignment="1">
      <alignment horizontal="center" vertical="center" wrapText="1"/>
    </xf>
    <xf numFmtId="4" fontId="4" fillId="8" borderId="0" xfId="1" applyNumberFormat="1" applyFill="1" applyAlignment="1">
      <alignment horizontal="right"/>
    </xf>
    <xf numFmtId="4" fontId="12" fillId="8" borderId="0" xfId="1" applyNumberFormat="1" applyFont="1" applyFill="1"/>
    <xf numFmtId="49" fontId="10" fillId="8" borderId="7" xfId="1" applyNumberFormat="1" applyFont="1" applyFill="1" applyBorder="1" applyAlignment="1">
      <alignment horizontal="center" vertical="center"/>
    </xf>
    <xf numFmtId="49" fontId="13" fillId="8" borderId="7" xfId="1" applyNumberFormat="1" applyFont="1" applyFill="1" applyBorder="1" applyAlignment="1">
      <alignment horizontal="center" vertical="center"/>
    </xf>
    <xf numFmtId="49" fontId="6" fillId="2" borderId="7" xfId="1" applyNumberFormat="1" applyFont="1" applyFill="1" applyBorder="1" applyAlignment="1">
      <alignment horizontal="center" vertical="center"/>
    </xf>
    <xf numFmtId="0" fontId="11" fillId="8" borderId="7" xfId="1" applyFont="1" applyFill="1" applyBorder="1" applyAlignment="1">
      <alignment horizontal="center" wrapText="1"/>
    </xf>
    <xf numFmtId="1" fontId="9" fillId="8" borderId="7" xfId="1" applyNumberFormat="1" applyFont="1" applyFill="1" applyBorder="1" applyAlignment="1">
      <alignment horizontal="center" wrapText="1"/>
    </xf>
    <xf numFmtId="4" fontId="4" fillId="8" borderId="10" xfId="1" applyNumberFormat="1" applyFill="1" applyBorder="1" applyAlignment="1">
      <alignment wrapText="1"/>
    </xf>
    <xf numFmtId="4" fontId="7" fillId="11" borderId="7" xfId="1" applyNumberFormat="1" applyFont="1" applyFill="1" applyBorder="1" applyAlignment="1">
      <alignment horizontal="right"/>
    </xf>
    <xf numFmtId="2" fontId="12" fillId="8" borderId="0" xfId="1" applyNumberFormat="1" applyFont="1" applyFill="1"/>
    <xf numFmtId="0" fontId="1" fillId="3" borderId="0" xfId="0" applyFont="1" applyFill="1" applyAlignment="1">
      <alignment horizontal="center" wrapText="1"/>
    </xf>
    <xf numFmtId="0" fontId="1" fillId="8" borderId="0" xfId="1" applyFont="1" applyFill="1" applyAlignment="1">
      <alignment horizontal="left"/>
    </xf>
    <xf numFmtId="0" fontId="1" fillId="3" borderId="0" xfId="0" applyFont="1" applyFill="1" applyAlignment="1">
      <alignment horizontal="left" wrapText="1"/>
    </xf>
    <xf numFmtId="4" fontId="6" fillId="2" borderId="0" xfId="1" applyNumberFormat="1" applyFont="1" applyFill="1" applyAlignment="1">
      <alignment horizontal="center"/>
    </xf>
    <xf numFmtId="4" fontId="11" fillId="2" borderId="0" xfId="1" applyNumberFormat="1" applyFont="1" applyFill="1" applyAlignment="1">
      <alignment horizontal="center"/>
    </xf>
    <xf numFmtId="4" fontId="7" fillId="8" borderId="7" xfId="1" applyNumberFormat="1" applyFont="1" applyFill="1" applyBorder="1" applyAlignment="1">
      <alignment horizontal="center" vertical="center" wrapText="1"/>
    </xf>
    <xf numFmtId="4" fontId="7" fillId="0" borderId="3" xfId="1" applyNumberFormat="1" applyFont="1" applyBorder="1" applyAlignment="1">
      <alignment horizontal="center" vertical="center" wrapText="1"/>
    </xf>
    <xf numFmtId="4" fontId="7" fillId="0" borderId="8" xfId="1" applyNumberFormat="1" applyFont="1" applyBorder="1" applyAlignment="1">
      <alignment horizontal="center" vertical="center" wrapText="1"/>
    </xf>
    <xf numFmtId="4" fontId="7" fillId="2" borderId="3" xfId="1" applyNumberFormat="1" applyFont="1" applyFill="1" applyBorder="1" applyAlignment="1">
      <alignment horizontal="center" vertical="center" wrapText="1"/>
    </xf>
    <xf numFmtId="4" fontId="7" fillId="2" borderId="8" xfId="1" applyNumberFormat="1" applyFont="1" applyFill="1" applyBorder="1" applyAlignment="1">
      <alignment horizontal="center" vertical="center" wrapText="1"/>
    </xf>
    <xf numFmtId="4" fontId="7" fillId="2" borderId="4" xfId="1" applyNumberFormat="1" applyFont="1" applyFill="1" applyBorder="1" applyAlignment="1">
      <alignment horizontal="center" vertical="center" wrapText="1"/>
    </xf>
    <xf numFmtId="4" fontId="7" fillId="2" borderId="9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Border="1" applyAlignment="1">
      <alignment horizontal="center" vertical="center" wrapText="1"/>
    </xf>
    <xf numFmtId="4" fontId="7" fillId="0" borderId="7" xfId="1" applyNumberFormat="1" applyFont="1" applyBorder="1" applyAlignment="1">
      <alignment horizontal="center" vertical="center" wrapText="1"/>
    </xf>
    <xf numFmtId="4" fontId="7" fillId="3" borderId="3" xfId="1" applyNumberFormat="1" applyFont="1" applyFill="1" applyBorder="1" applyAlignment="1">
      <alignment horizontal="center" vertical="center" wrapText="1"/>
    </xf>
    <xf numFmtId="4" fontId="7" fillId="3" borderId="8" xfId="1" applyNumberFormat="1" applyFont="1" applyFill="1" applyBorder="1" applyAlignment="1">
      <alignment horizontal="center" vertical="center" wrapText="1"/>
    </xf>
    <xf numFmtId="4" fontId="7" fillId="3" borderId="5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/>
    </xf>
    <xf numFmtId="0" fontId="11" fillId="2" borderId="0" xfId="1" applyFont="1" applyFill="1" applyAlignment="1">
      <alignment horizontal="center"/>
    </xf>
    <xf numFmtId="4" fontId="6" fillId="2" borderId="0" xfId="1" applyNumberFormat="1" applyFont="1" applyFill="1" applyAlignment="1">
      <alignment horizontal="center" vertical="center"/>
    </xf>
    <xf numFmtId="4" fontId="9" fillId="2" borderId="0" xfId="1" applyNumberFormat="1" applyFont="1" applyFill="1" applyAlignment="1">
      <alignment horizontal="center" vertical="center"/>
    </xf>
    <xf numFmtId="4" fontId="20" fillId="2" borderId="0" xfId="1" applyNumberFormat="1" applyFont="1" applyFill="1" applyAlignment="1">
      <alignment horizontal="center" vertical="center"/>
    </xf>
    <xf numFmtId="4" fontId="5" fillId="2" borderId="0" xfId="1" applyNumberFormat="1" applyFont="1" applyFill="1" applyAlignment="1">
      <alignment horizontal="center" vertical="center"/>
    </xf>
    <xf numFmtId="4" fontId="23" fillId="2" borderId="0" xfId="1" applyNumberFormat="1" applyFont="1" applyFill="1" applyAlignment="1">
      <alignment horizontal="center"/>
    </xf>
    <xf numFmtId="0" fontId="31" fillId="8" borderId="0" xfId="0" applyFont="1" applyFill="1" applyAlignment="1">
      <alignment horizontal="right" vertical="center"/>
    </xf>
    <xf numFmtId="0" fontId="31" fillId="8" borderId="0" xfId="1" applyFont="1" applyFill="1" applyAlignment="1">
      <alignment horizontal="right" vertical="center"/>
    </xf>
    <xf numFmtId="0" fontId="5" fillId="8" borderId="0" xfId="0" applyFont="1" applyFill="1" applyAlignment="1">
      <alignment horizontal="center" vertical="center" wrapText="1"/>
    </xf>
    <xf numFmtId="0" fontId="29" fillId="0" borderId="0" xfId="0" applyFont="1" applyAlignment="1">
      <alignment horizontal="left" wrapText="1"/>
    </xf>
    <xf numFmtId="0" fontId="28" fillId="0" borderId="0" xfId="0" applyFont="1" applyAlignment="1">
      <alignment horizontal="center"/>
    </xf>
    <xf numFmtId="0" fontId="29" fillId="0" borderId="7" xfId="0" applyFont="1" applyBorder="1"/>
    <xf numFmtId="0" fontId="29" fillId="0" borderId="10" xfId="0" applyFont="1" applyBorder="1" applyAlignment="1">
      <alignment horizontal="left"/>
    </xf>
    <xf numFmtId="0" fontId="29" fillId="0" borderId="15" xfId="0" applyFont="1" applyBorder="1" applyAlignment="1">
      <alignment horizontal="left"/>
    </xf>
    <xf numFmtId="0" fontId="29" fillId="0" borderId="11" xfId="0" applyFont="1" applyBorder="1" applyAlignment="1">
      <alignment horizontal="left"/>
    </xf>
    <xf numFmtId="0" fontId="29" fillId="0" borderId="0" xfId="0" applyFont="1" applyAlignment="1">
      <alignment wrapText="1"/>
    </xf>
    <xf numFmtId="0" fontId="29" fillId="0" borderId="0" xfId="0" applyFont="1"/>
    <xf numFmtId="0" fontId="29" fillId="0" borderId="7" xfId="0" applyFont="1" applyBorder="1" applyAlignment="1">
      <alignment wrapText="1"/>
    </xf>
    <xf numFmtId="49" fontId="29" fillId="0" borderId="7" xfId="0" applyNumberFormat="1" applyFont="1" applyBorder="1" applyAlignment="1">
      <alignment horizontal="left" vertical="center"/>
    </xf>
    <xf numFmtId="4" fontId="29" fillId="0" borderId="7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/>
    </xf>
  </cellXfs>
  <cellStyles count="4">
    <cellStyle name="Обычный" xfId="0" builtinId="0"/>
    <cellStyle name="Обычный 2" xfId="2" xr:uid="{00000000-0005-0000-0000-000001000000}"/>
    <cellStyle name="Обычный 3" xfId="3" xr:uid="{00000000-0005-0000-0000-000002000000}"/>
    <cellStyle name="Обычный_форма к бюджету 2007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626"/>
  <sheetViews>
    <sheetView tabSelected="1" zoomScaleNormal="100" zoomScaleSheetLayoutView="98" workbookViewId="0">
      <pane ySplit="12" topLeftCell="A593" activePane="bottomLeft" state="frozen"/>
      <selection pane="bottomLeft" sqref="A1:Y598"/>
    </sheetView>
  </sheetViews>
  <sheetFormatPr defaultColWidth="13.140625" defaultRowHeight="12.75" x14ac:dyDescent="0.2"/>
  <cols>
    <col min="1" max="1" width="41.5703125" style="1" customWidth="1"/>
    <col min="2" max="2" width="7.5703125" style="277" customWidth="1"/>
    <col min="3" max="3" width="7" style="277" customWidth="1"/>
    <col min="4" max="4" width="14.28515625" style="277" customWidth="1"/>
    <col min="5" max="5" width="4.5703125" style="221" customWidth="1"/>
    <col min="6" max="6" width="11.28515625" style="277" bestFit="1" customWidth="1"/>
    <col min="7" max="7" width="10.28515625" style="277" customWidth="1"/>
    <col min="8" max="8" width="13.85546875" style="222" hidden="1" customWidth="1"/>
    <col min="9" max="10" width="13.5703125" style="224" hidden="1" customWidth="1"/>
    <col min="11" max="14" width="13.5703125" style="1" hidden="1" customWidth="1"/>
    <col min="15" max="15" width="9.140625" style="1" hidden="1" customWidth="1"/>
    <col min="16" max="16" width="16.42578125" style="410" customWidth="1"/>
    <col min="17" max="18" width="16.42578125" style="316" customWidth="1"/>
    <col min="19" max="19" width="17.140625" style="316" hidden="1" customWidth="1"/>
    <col min="20" max="22" width="16.42578125" style="316" customWidth="1"/>
    <col min="23" max="23" width="16.42578125" style="316" hidden="1" customWidth="1"/>
    <col min="24" max="24" width="16" style="316" customWidth="1"/>
    <col min="25" max="25" width="13.85546875" style="37" hidden="1" customWidth="1"/>
    <col min="26" max="26" width="14.140625" style="37" customWidth="1"/>
    <col min="27" max="27" width="13.140625" style="1"/>
    <col min="28" max="28" width="16" style="1" bestFit="1" customWidth="1"/>
    <col min="29" max="29" width="13.42578125" style="1" bestFit="1" customWidth="1"/>
    <col min="30" max="260" width="13.140625" style="1"/>
    <col min="261" max="261" width="41.5703125" style="1" customWidth="1"/>
    <col min="262" max="262" width="7.42578125" style="1" customWidth="1"/>
    <col min="263" max="263" width="7" style="1" customWidth="1"/>
    <col min="264" max="264" width="13.140625" style="1" customWidth="1"/>
    <col min="265" max="265" width="4.5703125" style="1" customWidth="1"/>
    <col min="266" max="266" width="6" style="1" customWidth="1"/>
    <col min="267" max="267" width="8.85546875" style="1" customWidth="1"/>
    <col min="268" max="275" width="0" style="1" hidden="1" customWidth="1"/>
    <col min="276" max="276" width="16.42578125" style="1" customWidth="1"/>
    <col min="277" max="280" width="0" style="1" hidden="1" customWidth="1"/>
    <col min="281" max="281" width="13.42578125" style="1" bestFit="1" customWidth="1"/>
    <col min="282" max="516" width="13.140625" style="1"/>
    <col min="517" max="517" width="41.5703125" style="1" customWidth="1"/>
    <col min="518" max="518" width="7.42578125" style="1" customWidth="1"/>
    <col min="519" max="519" width="7" style="1" customWidth="1"/>
    <col min="520" max="520" width="13.140625" style="1" customWidth="1"/>
    <col min="521" max="521" width="4.5703125" style="1" customWidth="1"/>
    <col min="522" max="522" width="6" style="1" customWidth="1"/>
    <col min="523" max="523" width="8.85546875" style="1" customWidth="1"/>
    <col min="524" max="531" width="0" style="1" hidden="1" customWidth="1"/>
    <col min="532" max="532" width="16.42578125" style="1" customWidth="1"/>
    <col min="533" max="536" width="0" style="1" hidden="1" customWidth="1"/>
    <col min="537" max="537" width="13.42578125" style="1" bestFit="1" customWidth="1"/>
    <col min="538" max="772" width="13.140625" style="1"/>
    <col min="773" max="773" width="41.5703125" style="1" customWidth="1"/>
    <col min="774" max="774" width="7.42578125" style="1" customWidth="1"/>
    <col min="775" max="775" width="7" style="1" customWidth="1"/>
    <col min="776" max="776" width="13.140625" style="1" customWidth="1"/>
    <col min="777" max="777" width="4.5703125" style="1" customWidth="1"/>
    <col min="778" max="778" width="6" style="1" customWidth="1"/>
    <col min="779" max="779" width="8.85546875" style="1" customWidth="1"/>
    <col min="780" max="787" width="0" style="1" hidden="1" customWidth="1"/>
    <col min="788" max="788" width="16.42578125" style="1" customWidth="1"/>
    <col min="789" max="792" width="0" style="1" hidden="1" customWidth="1"/>
    <col min="793" max="793" width="13.42578125" style="1" bestFit="1" customWidth="1"/>
    <col min="794" max="1028" width="13.140625" style="1"/>
    <col min="1029" max="1029" width="41.5703125" style="1" customWidth="1"/>
    <col min="1030" max="1030" width="7.42578125" style="1" customWidth="1"/>
    <col min="1031" max="1031" width="7" style="1" customWidth="1"/>
    <col min="1032" max="1032" width="13.140625" style="1" customWidth="1"/>
    <col min="1033" max="1033" width="4.5703125" style="1" customWidth="1"/>
    <col min="1034" max="1034" width="6" style="1" customWidth="1"/>
    <col min="1035" max="1035" width="8.85546875" style="1" customWidth="1"/>
    <col min="1036" max="1043" width="0" style="1" hidden="1" customWidth="1"/>
    <col min="1044" max="1044" width="16.42578125" style="1" customWidth="1"/>
    <col min="1045" max="1048" width="0" style="1" hidden="1" customWidth="1"/>
    <col min="1049" max="1049" width="13.42578125" style="1" bestFit="1" customWidth="1"/>
    <col min="1050" max="1284" width="13.140625" style="1"/>
    <col min="1285" max="1285" width="41.5703125" style="1" customWidth="1"/>
    <col min="1286" max="1286" width="7.42578125" style="1" customWidth="1"/>
    <col min="1287" max="1287" width="7" style="1" customWidth="1"/>
    <col min="1288" max="1288" width="13.140625" style="1" customWidth="1"/>
    <col min="1289" max="1289" width="4.5703125" style="1" customWidth="1"/>
    <col min="1290" max="1290" width="6" style="1" customWidth="1"/>
    <col min="1291" max="1291" width="8.85546875" style="1" customWidth="1"/>
    <col min="1292" max="1299" width="0" style="1" hidden="1" customWidth="1"/>
    <col min="1300" max="1300" width="16.42578125" style="1" customWidth="1"/>
    <col min="1301" max="1304" width="0" style="1" hidden="1" customWidth="1"/>
    <col min="1305" max="1305" width="13.42578125" style="1" bestFit="1" customWidth="1"/>
    <col min="1306" max="1540" width="13.140625" style="1"/>
    <col min="1541" max="1541" width="41.5703125" style="1" customWidth="1"/>
    <col min="1542" max="1542" width="7.42578125" style="1" customWidth="1"/>
    <col min="1543" max="1543" width="7" style="1" customWidth="1"/>
    <col min="1544" max="1544" width="13.140625" style="1" customWidth="1"/>
    <col min="1545" max="1545" width="4.5703125" style="1" customWidth="1"/>
    <col min="1546" max="1546" width="6" style="1" customWidth="1"/>
    <col min="1547" max="1547" width="8.85546875" style="1" customWidth="1"/>
    <col min="1548" max="1555" width="0" style="1" hidden="1" customWidth="1"/>
    <col min="1556" max="1556" width="16.42578125" style="1" customWidth="1"/>
    <col min="1557" max="1560" width="0" style="1" hidden="1" customWidth="1"/>
    <col min="1561" max="1561" width="13.42578125" style="1" bestFit="1" customWidth="1"/>
    <col min="1562" max="1796" width="13.140625" style="1"/>
    <col min="1797" max="1797" width="41.5703125" style="1" customWidth="1"/>
    <col min="1798" max="1798" width="7.42578125" style="1" customWidth="1"/>
    <col min="1799" max="1799" width="7" style="1" customWidth="1"/>
    <col min="1800" max="1800" width="13.140625" style="1" customWidth="1"/>
    <col min="1801" max="1801" width="4.5703125" style="1" customWidth="1"/>
    <col min="1802" max="1802" width="6" style="1" customWidth="1"/>
    <col min="1803" max="1803" width="8.85546875" style="1" customWidth="1"/>
    <col min="1804" max="1811" width="0" style="1" hidden="1" customWidth="1"/>
    <col min="1812" max="1812" width="16.42578125" style="1" customWidth="1"/>
    <col min="1813" max="1816" width="0" style="1" hidden="1" customWidth="1"/>
    <col min="1817" max="1817" width="13.42578125" style="1" bestFit="1" customWidth="1"/>
    <col min="1818" max="2052" width="13.140625" style="1"/>
    <col min="2053" max="2053" width="41.5703125" style="1" customWidth="1"/>
    <col min="2054" max="2054" width="7.42578125" style="1" customWidth="1"/>
    <col min="2055" max="2055" width="7" style="1" customWidth="1"/>
    <col min="2056" max="2056" width="13.140625" style="1" customWidth="1"/>
    <col min="2057" max="2057" width="4.5703125" style="1" customWidth="1"/>
    <col min="2058" max="2058" width="6" style="1" customWidth="1"/>
    <col min="2059" max="2059" width="8.85546875" style="1" customWidth="1"/>
    <col min="2060" max="2067" width="0" style="1" hidden="1" customWidth="1"/>
    <col min="2068" max="2068" width="16.42578125" style="1" customWidth="1"/>
    <col min="2069" max="2072" width="0" style="1" hidden="1" customWidth="1"/>
    <col min="2073" max="2073" width="13.42578125" style="1" bestFit="1" customWidth="1"/>
    <col min="2074" max="2308" width="13.140625" style="1"/>
    <col min="2309" max="2309" width="41.5703125" style="1" customWidth="1"/>
    <col min="2310" max="2310" width="7.42578125" style="1" customWidth="1"/>
    <col min="2311" max="2311" width="7" style="1" customWidth="1"/>
    <col min="2312" max="2312" width="13.140625" style="1" customWidth="1"/>
    <col min="2313" max="2313" width="4.5703125" style="1" customWidth="1"/>
    <col min="2314" max="2314" width="6" style="1" customWidth="1"/>
    <col min="2315" max="2315" width="8.85546875" style="1" customWidth="1"/>
    <col min="2316" max="2323" width="0" style="1" hidden="1" customWidth="1"/>
    <col min="2324" max="2324" width="16.42578125" style="1" customWidth="1"/>
    <col min="2325" max="2328" width="0" style="1" hidden="1" customWidth="1"/>
    <col min="2329" max="2329" width="13.42578125" style="1" bestFit="1" customWidth="1"/>
    <col min="2330" max="2564" width="13.140625" style="1"/>
    <col min="2565" max="2565" width="41.5703125" style="1" customWidth="1"/>
    <col min="2566" max="2566" width="7.42578125" style="1" customWidth="1"/>
    <col min="2567" max="2567" width="7" style="1" customWidth="1"/>
    <col min="2568" max="2568" width="13.140625" style="1" customWidth="1"/>
    <col min="2569" max="2569" width="4.5703125" style="1" customWidth="1"/>
    <col min="2570" max="2570" width="6" style="1" customWidth="1"/>
    <col min="2571" max="2571" width="8.85546875" style="1" customWidth="1"/>
    <col min="2572" max="2579" width="0" style="1" hidden="1" customWidth="1"/>
    <col min="2580" max="2580" width="16.42578125" style="1" customWidth="1"/>
    <col min="2581" max="2584" width="0" style="1" hidden="1" customWidth="1"/>
    <col min="2585" max="2585" width="13.42578125" style="1" bestFit="1" customWidth="1"/>
    <col min="2586" max="2820" width="13.140625" style="1"/>
    <col min="2821" max="2821" width="41.5703125" style="1" customWidth="1"/>
    <col min="2822" max="2822" width="7.42578125" style="1" customWidth="1"/>
    <col min="2823" max="2823" width="7" style="1" customWidth="1"/>
    <col min="2824" max="2824" width="13.140625" style="1" customWidth="1"/>
    <col min="2825" max="2825" width="4.5703125" style="1" customWidth="1"/>
    <col min="2826" max="2826" width="6" style="1" customWidth="1"/>
    <col min="2827" max="2827" width="8.85546875" style="1" customWidth="1"/>
    <col min="2828" max="2835" width="0" style="1" hidden="1" customWidth="1"/>
    <col min="2836" max="2836" width="16.42578125" style="1" customWidth="1"/>
    <col min="2837" max="2840" width="0" style="1" hidden="1" customWidth="1"/>
    <col min="2841" max="2841" width="13.42578125" style="1" bestFit="1" customWidth="1"/>
    <col min="2842" max="3076" width="13.140625" style="1"/>
    <col min="3077" max="3077" width="41.5703125" style="1" customWidth="1"/>
    <col min="3078" max="3078" width="7.42578125" style="1" customWidth="1"/>
    <col min="3079" max="3079" width="7" style="1" customWidth="1"/>
    <col min="3080" max="3080" width="13.140625" style="1" customWidth="1"/>
    <col min="3081" max="3081" width="4.5703125" style="1" customWidth="1"/>
    <col min="3082" max="3082" width="6" style="1" customWidth="1"/>
    <col min="3083" max="3083" width="8.85546875" style="1" customWidth="1"/>
    <col min="3084" max="3091" width="0" style="1" hidden="1" customWidth="1"/>
    <col min="3092" max="3092" width="16.42578125" style="1" customWidth="1"/>
    <col min="3093" max="3096" width="0" style="1" hidden="1" customWidth="1"/>
    <col min="3097" max="3097" width="13.42578125" style="1" bestFit="1" customWidth="1"/>
    <col min="3098" max="3332" width="13.140625" style="1"/>
    <col min="3333" max="3333" width="41.5703125" style="1" customWidth="1"/>
    <col min="3334" max="3334" width="7.42578125" style="1" customWidth="1"/>
    <col min="3335" max="3335" width="7" style="1" customWidth="1"/>
    <col min="3336" max="3336" width="13.140625" style="1" customWidth="1"/>
    <col min="3337" max="3337" width="4.5703125" style="1" customWidth="1"/>
    <col min="3338" max="3338" width="6" style="1" customWidth="1"/>
    <col min="3339" max="3339" width="8.85546875" style="1" customWidth="1"/>
    <col min="3340" max="3347" width="0" style="1" hidden="1" customWidth="1"/>
    <col min="3348" max="3348" width="16.42578125" style="1" customWidth="1"/>
    <col min="3349" max="3352" width="0" style="1" hidden="1" customWidth="1"/>
    <col min="3353" max="3353" width="13.42578125" style="1" bestFit="1" customWidth="1"/>
    <col min="3354" max="3588" width="13.140625" style="1"/>
    <col min="3589" max="3589" width="41.5703125" style="1" customWidth="1"/>
    <col min="3590" max="3590" width="7.42578125" style="1" customWidth="1"/>
    <col min="3591" max="3591" width="7" style="1" customWidth="1"/>
    <col min="3592" max="3592" width="13.140625" style="1" customWidth="1"/>
    <col min="3593" max="3593" width="4.5703125" style="1" customWidth="1"/>
    <col min="3594" max="3594" width="6" style="1" customWidth="1"/>
    <col min="3595" max="3595" width="8.85546875" style="1" customWidth="1"/>
    <col min="3596" max="3603" width="0" style="1" hidden="1" customWidth="1"/>
    <col min="3604" max="3604" width="16.42578125" style="1" customWidth="1"/>
    <col min="3605" max="3608" width="0" style="1" hidden="1" customWidth="1"/>
    <col min="3609" max="3609" width="13.42578125" style="1" bestFit="1" customWidth="1"/>
    <col min="3610" max="3844" width="13.140625" style="1"/>
    <col min="3845" max="3845" width="41.5703125" style="1" customWidth="1"/>
    <col min="3846" max="3846" width="7.42578125" style="1" customWidth="1"/>
    <col min="3847" max="3847" width="7" style="1" customWidth="1"/>
    <col min="3848" max="3848" width="13.140625" style="1" customWidth="1"/>
    <col min="3849" max="3849" width="4.5703125" style="1" customWidth="1"/>
    <col min="3850" max="3850" width="6" style="1" customWidth="1"/>
    <col min="3851" max="3851" width="8.85546875" style="1" customWidth="1"/>
    <col min="3852" max="3859" width="0" style="1" hidden="1" customWidth="1"/>
    <col min="3860" max="3860" width="16.42578125" style="1" customWidth="1"/>
    <col min="3861" max="3864" width="0" style="1" hidden="1" customWidth="1"/>
    <col min="3865" max="3865" width="13.42578125" style="1" bestFit="1" customWidth="1"/>
    <col min="3866" max="4100" width="13.140625" style="1"/>
    <col min="4101" max="4101" width="41.5703125" style="1" customWidth="1"/>
    <col min="4102" max="4102" width="7.42578125" style="1" customWidth="1"/>
    <col min="4103" max="4103" width="7" style="1" customWidth="1"/>
    <col min="4104" max="4104" width="13.140625" style="1" customWidth="1"/>
    <col min="4105" max="4105" width="4.5703125" style="1" customWidth="1"/>
    <col min="4106" max="4106" width="6" style="1" customWidth="1"/>
    <col min="4107" max="4107" width="8.85546875" style="1" customWidth="1"/>
    <col min="4108" max="4115" width="0" style="1" hidden="1" customWidth="1"/>
    <col min="4116" max="4116" width="16.42578125" style="1" customWidth="1"/>
    <col min="4117" max="4120" width="0" style="1" hidden="1" customWidth="1"/>
    <col min="4121" max="4121" width="13.42578125" style="1" bestFit="1" customWidth="1"/>
    <col min="4122" max="4356" width="13.140625" style="1"/>
    <col min="4357" max="4357" width="41.5703125" style="1" customWidth="1"/>
    <col min="4358" max="4358" width="7.42578125" style="1" customWidth="1"/>
    <col min="4359" max="4359" width="7" style="1" customWidth="1"/>
    <col min="4360" max="4360" width="13.140625" style="1" customWidth="1"/>
    <col min="4361" max="4361" width="4.5703125" style="1" customWidth="1"/>
    <col min="4362" max="4362" width="6" style="1" customWidth="1"/>
    <col min="4363" max="4363" width="8.85546875" style="1" customWidth="1"/>
    <col min="4364" max="4371" width="0" style="1" hidden="1" customWidth="1"/>
    <col min="4372" max="4372" width="16.42578125" style="1" customWidth="1"/>
    <col min="4373" max="4376" width="0" style="1" hidden="1" customWidth="1"/>
    <col min="4377" max="4377" width="13.42578125" style="1" bestFit="1" customWidth="1"/>
    <col min="4378" max="4612" width="13.140625" style="1"/>
    <col min="4613" max="4613" width="41.5703125" style="1" customWidth="1"/>
    <col min="4614" max="4614" width="7.42578125" style="1" customWidth="1"/>
    <col min="4615" max="4615" width="7" style="1" customWidth="1"/>
    <col min="4616" max="4616" width="13.140625" style="1" customWidth="1"/>
    <col min="4617" max="4617" width="4.5703125" style="1" customWidth="1"/>
    <col min="4618" max="4618" width="6" style="1" customWidth="1"/>
    <col min="4619" max="4619" width="8.85546875" style="1" customWidth="1"/>
    <col min="4620" max="4627" width="0" style="1" hidden="1" customWidth="1"/>
    <col min="4628" max="4628" width="16.42578125" style="1" customWidth="1"/>
    <col min="4629" max="4632" width="0" style="1" hidden="1" customWidth="1"/>
    <col min="4633" max="4633" width="13.42578125" style="1" bestFit="1" customWidth="1"/>
    <col min="4634" max="4868" width="13.140625" style="1"/>
    <col min="4869" max="4869" width="41.5703125" style="1" customWidth="1"/>
    <col min="4870" max="4870" width="7.42578125" style="1" customWidth="1"/>
    <col min="4871" max="4871" width="7" style="1" customWidth="1"/>
    <col min="4872" max="4872" width="13.140625" style="1" customWidth="1"/>
    <col min="4873" max="4873" width="4.5703125" style="1" customWidth="1"/>
    <col min="4874" max="4874" width="6" style="1" customWidth="1"/>
    <col min="4875" max="4875" width="8.85546875" style="1" customWidth="1"/>
    <col min="4876" max="4883" width="0" style="1" hidden="1" customWidth="1"/>
    <col min="4884" max="4884" width="16.42578125" style="1" customWidth="1"/>
    <col min="4885" max="4888" width="0" style="1" hidden="1" customWidth="1"/>
    <col min="4889" max="4889" width="13.42578125" style="1" bestFit="1" customWidth="1"/>
    <col min="4890" max="5124" width="13.140625" style="1"/>
    <col min="5125" max="5125" width="41.5703125" style="1" customWidth="1"/>
    <col min="5126" max="5126" width="7.42578125" style="1" customWidth="1"/>
    <col min="5127" max="5127" width="7" style="1" customWidth="1"/>
    <col min="5128" max="5128" width="13.140625" style="1" customWidth="1"/>
    <col min="5129" max="5129" width="4.5703125" style="1" customWidth="1"/>
    <col min="5130" max="5130" width="6" style="1" customWidth="1"/>
    <col min="5131" max="5131" width="8.85546875" style="1" customWidth="1"/>
    <col min="5132" max="5139" width="0" style="1" hidden="1" customWidth="1"/>
    <col min="5140" max="5140" width="16.42578125" style="1" customWidth="1"/>
    <col min="5141" max="5144" width="0" style="1" hidden="1" customWidth="1"/>
    <col min="5145" max="5145" width="13.42578125" style="1" bestFit="1" customWidth="1"/>
    <col min="5146" max="5380" width="13.140625" style="1"/>
    <col min="5381" max="5381" width="41.5703125" style="1" customWidth="1"/>
    <col min="5382" max="5382" width="7.42578125" style="1" customWidth="1"/>
    <col min="5383" max="5383" width="7" style="1" customWidth="1"/>
    <col min="5384" max="5384" width="13.140625" style="1" customWidth="1"/>
    <col min="5385" max="5385" width="4.5703125" style="1" customWidth="1"/>
    <col min="5386" max="5386" width="6" style="1" customWidth="1"/>
    <col min="5387" max="5387" width="8.85546875" style="1" customWidth="1"/>
    <col min="5388" max="5395" width="0" style="1" hidden="1" customWidth="1"/>
    <col min="5396" max="5396" width="16.42578125" style="1" customWidth="1"/>
    <col min="5397" max="5400" width="0" style="1" hidden="1" customWidth="1"/>
    <col min="5401" max="5401" width="13.42578125" style="1" bestFit="1" customWidth="1"/>
    <col min="5402" max="5636" width="13.140625" style="1"/>
    <col min="5637" max="5637" width="41.5703125" style="1" customWidth="1"/>
    <col min="5638" max="5638" width="7.42578125" style="1" customWidth="1"/>
    <col min="5639" max="5639" width="7" style="1" customWidth="1"/>
    <col min="5640" max="5640" width="13.140625" style="1" customWidth="1"/>
    <col min="5641" max="5641" width="4.5703125" style="1" customWidth="1"/>
    <col min="5642" max="5642" width="6" style="1" customWidth="1"/>
    <col min="5643" max="5643" width="8.85546875" style="1" customWidth="1"/>
    <col min="5644" max="5651" width="0" style="1" hidden="1" customWidth="1"/>
    <col min="5652" max="5652" width="16.42578125" style="1" customWidth="1"/>
    <col min="5653" max="5656" width="0" style="1" hidden="1" customWidth="1"/>
    <col min="5657" max="5657" width="13.42578125" style="1" bestFit="1" customWidth="1"/>
    <col min="5658" max="5892" width="13.140625" style="1"/>
    <col min="5893" max="5893" width="41.5703125" style="1" customWidth="1"/>
    <col min="5894" max="5894" width="7.42578125" style="1" customWidth="1"/>
    <col min="5895" max="5895" width="7" style="1" customWidth="1"/>
    <col min="5896" max="5896" width="13.140625" style="1" customWidth="1"/>
    <col min="5897" max="5897" width="4.5703125" style="1" customWidth="1"/>
    <col min="5898" max="5898" width="6" style="1" customWidth="1"/>
    <col min="5899" max="5899" width="8.85546875" style="1" customWidth="1"/>
    <col min="5900" max="5907" width="0" style="1" hidden="1" customWidth="1"/>
    <col min="5908" max="5908" width="16.42578125" style="1" customWidth="1"/>
    <col min="5909" max="5912" width="0" style="1" hidden="1" customWidth="1"/>
    <col min="5913" max="5913" width="13.42578125" style="1" bestFit="1" customWidth="1"/>
    <col min="5914" max="6148" width="13.140625" style="1"/>
    <col min="6149" max="6149" width="41.5703125" style="1" customWidth="1"/>
    <col min="6150" max="6150" width="7.42578125" style="1" customWidth="1"/>
    <col min="6151" max="6151" width="7" style="1" customWidth="1"/>
    <col min="6152" max="6152" width="13.140625" style="1" customWidth="1"/>
    <col min="6153" max="6153" width="4.5703125" style="1" customWidth="1"/>
    <col min="6154" max="6154" width="6" style="1" customWidth="1"/>
    <col min="6155" max="6155" width="8.85546875" style="1" customWidth="1"/>
    <col min="6156" max="6163" width="0" style="1" hidden="1" customWidth="1"/>
    <col min="6164" max="6164" width="16.42578125" style="1" customWidth="1"/>
    <col min="6165" max="6168" width="0" style="1" hidden="1" customWidth="1"/>
    <col min="6169" max="6169" width="13.42578125" style="1" bestFit="1" customWidth="1"/>
    <col min="6170" max="6404" width="13.140625" style="1"/>
    <col min="6405" max="6405" width="41.5703125" style="1" customWidth="1"/>
    <col min="6406" max="6406" width="7.42578125" style="1" customWidth="1"/>
    <col min="6407" max="6407" width="7" style="1" customWidth="1"/>
    <col min="6408" max="6408" width="13.140625" style="1" customWidth="1"/>
    <col min="6409" max="6409" width="4.5703125" style="1" customWidth="1"/>
    <col min="6410" max="6410" width="6" style="1" customWidth="1"/>
    <col min="6411" max="6411" width="8.85546875" style="1" customWidth="1"/>
    <col min="6412" max="6419" width="0" style="1" hidden="1" customWidth="1"/>
    <col min="6420" max="6420" width="16.42578125" style="1" customWidth="1"/>
    <col min="6421" max="6424" width="0" style="1" hidden="1" customWidth="1"/>
    <col min="6425" max="6425" width="13.42578125" style="1" bestFit="1" customWidth="1"/>
    <col min="6426" max="6660" width="13.140625" style="1"/>
    <col min="6661" max="6661" width="41.5703125" style="1" customWidth="1"/>
    <col min="6662" max="6662" width="7.42578125" style="1" customWidth="1"/>
    <col min="6663" max="6663" width="7" style="1" customWidth="1"/>
    <col min="6664" max="6664" width="13.140625" style="1" customWidth="1"/>
    <col min="6665" max="6665" width="4.5703125" style="1" customWidth="1"/>
    <col min="6666" max="6666" width="6" style="1" customWidth="1"/>
    <col min="6667" max="6667" width="8.85546875" style="1" customWidth="1"/>
    <col min="6668" max="6675" width="0" style="1" hidden="1" customWidth="1"/>
    <col min="6676" max="6676" width="16.42578125" style="1" customWidth="1"/>
    <col min="6677" max="6680" width="0" style="1" hidden="1" customWidth="1"/>
    <col min="6681" max="6681" width="13.42578125" style="1" bestFit="1" customWidth="1"/>
    <col min="6682" max="6916" width="13.140625" style="1"/>
    <col min="6917" max="6917" width="41.5703125" style="1" customWidth="1"/>
    <col min="6918" max="6918" width="7.42578125" style="1" customWidth="1"/>
    <col min="6919" max="6919" width="7" style="1" customWidth="1"/>
    <col min="6920" max="6920" width="13.140625" style="1" customWidth="1"/>
    <col min="6921" max="6921" width="4.5703125" style="1" customWidth="1"/>
    <col min="6922" max="6922" width="6" style="1" customWidth="1"/>
    <col min="6923" max="6923" width="8.85546875" style="1" customWidth="1"/>
    <col min="6924" max="6931" width="0" style="1" hidden="1" customWidth="1"/>
    <col min="6932" max="6932" width="16.42578125" style="1" customWidth="1"/>
    <col min="6933" max="6936" width="0" style="1" hidden="1" customWidth="1"/>
    <col min="6937" max="6937" width="13.42578125" style="1" bestFit="1" customWidth="1"/>
    <col min="6938" max="7172" width="13.140625" style="1"/>
    <col min="7173" max="7173" width="41.5703125" style="1" customWidth="1"/>
    <col min="7174" max="7174" width="7.42578125" style="1" customWidth="1"/>
    <col min="7175" max="7175" width="7" style="1" customWidth="1"/>
    <col min="7176" max="7176" width="13.140625" style="1" customWidth="1"/>
    <col min="7177" max="7177" width="4.5703125" style="1" customWidth="1"/>
    <col min="7178" max="7178" width="6" style="1" customWidth="1"/>
    <col min="7179" max="7179" width="8.85546875" style="1" customWidth="1"/>
    <col min="7180" max="7187" width="0" style="1" hidden="1" customWidth="1"/>
    <col min="7188" max="7188" width="16.42578125" style="1" customWidth="1"/>
    <col min="7189" max="7192" width="0" style="1" hidden="1" customWidth="1"/>
    <col min="7193" max="7193" width="13.42578125" style="1" bestFit="1" customWidth="1"/>
    <col min="7194" max="7428" width="13.140625" style="1"/>
    <col min="7429" max="7429" width="41.5703125" style="1" customWidth="1"/>
    <col min="7430" max="7430" width="7.42578125" style="1" customWidth="1"/>
    <col min="7431" max="7431" width="7" style="1" customWidth="1"/>
    <col min="7432" max="7432" width="13.140625" style="1" customWidth="1"/>
    <col min="7433" max="7433" width="4.5703125" style="1" customWidth="1"/>
    <col min="7434" max="7434" width="6" style="1" customWidth="1"/>
    <col min="7435" max="7435" width="8.85546875" style="1" customWidth="1"/>
    <col min="7436" max="7443" width="0" style="1" hidden="1" customWidth="1"/>
    <col min="7444" max="7444" width="16.42578125" style="1" customWidth="1"/>
    <col min="7445" max="7448" width="0" style="1" hidden="1" customWidth="1"/>
    <col min="7449" max="7449" width="13.42578125" style="1" bestFit="1" customWidth="1"/>
    <col min="7450" max="7684" width="13.140625" style="1"/>
    <col min="7685" max="7685" width="41.5703125" style="1" customWidth="1"/>
    <col min="7686" max="7686" width="7.42578125" style="1" customWidth="1"/>
    <col min="7687" max="7687" width="7" style="1" customWidth="1"/>
    <col min="7688" max="7688" width="13.140625" style="1" customWidth="1"/>
    <col min="7689" max="7689" width="4.5703125" style="1" customWidth="1"/>
    <col min="7690" max="7690" width="6" style="1" customWidth="1"/>
    <col min="7691" max="7691" width="8.85546875" style="1" customWidth="1"/>
    <col min="7692" max="7699" width="0" style="1" hidden="1" customWidth="1"/>
    <col min="7700" max="7700" width="16.42578125" style="1" customWidth="1"/>
    <col min="7701" max="7704" width="0" style="1" hidden="1" customWidth="1"/>
    <col min="7705" max="7705" width="13.42578125" style="1" bestFit="1" customWidth="1"/>
    <col min="7706" max="7940" width="13.140625" style="1"/>
    <col min="7941" max="7941" width="41.5703125" style="1" customWidth="1"/>
    <col min="7942" max="7942" width="7.42578125" style="1" customWidth="1"/>
    <col min="7943" max="7943" width="7" style="1" customWidth="1"/>
    <col min="7944" max="7944" width="13.140625" style="1" customWidth="1"/>
    <col min="7945" max="7945" width="4.5703125" style="1" customWidth="1"/>
    <col min="7946" max="7946" width="6" style="1" customWidth="1"/>
    <col min="7947" max="7947" width="8.85546875" style="1" customWidth="1"/>
    <col min="7948" max="7955" width="0" style="1" hidden="1" customWidth="1"/>
    <col min="7956" max="7956" width="16.42578125" style="1" customWidth="1"/>
    <col min="7957" max="7960" width="0" style="1" hidden="1" customWidth="1"/>
    <col min="7961" max="7961" width="13.42578125" style="1" bestFit="1" customWidth="1"/>
    <col min="7962" max="8196" width="13.140625" style="1"/>
    <col min="8197" max="8197" width="41.5703125" style="1" customWidth="1"/>
    <col min="8198" max="8198" width="7.42578125" style="1" customWidth="1"/>
    <col min="8199" max="8199" width="7" style="1" customWidth="1"/>
    <col min="8200" max="8200" width="13.140625" style="1" customWidth="1"/>
    <col min="8201" max="8201" width="4.5703125" style="1" customWidth="1"/>
    <col min="8202" max="8202" width="6" style="1" customWidth="1"/>
    <col min="8203" max="8203" width="8.85546875" style="1" customWidth="1"/>
    <col min="8204" max="8211" width="0" style="1" hidden="1" customWidth="1"/>
    <col min="8212" max="8212" width="16.42578125" style="1" customWidth="1"/>
    <col min="8213" max="8216" width="0" style="1" hidden="1" customWidth="1"/>
    <col min="8217" max="8217" width="13.42578125" style="1" bestFit="1" customWidth="1"/>
    <col min="8218" max="8452" width="13.140625" style="1"/>
    <col min="8453" max="8453" width="41.5703125" style="1" customWidth="1"/>
    <col min="8454" max="8454" width="7.42578125" style="1" customWidth="1"/>
    <col min="8455" max="8455" width="7" style="1" customWidth="1"/>
    <col min="8456" max="8456" width="13.140625" style="1" customWidth="1"/>
    <col min="8457" max="8457" width="4.5703125" style="1" customWidth="1"/>
    <col min="8458" max="8458" width="6" style="1" customWidth="1"/>
    <col min="8459" max="8459" width="8.85546875" style="1" customWidth="1"/>
    <col min="8460" max="8467" width="0" style="1" hidden="1" customWidth="1"/>
    <col min="8468" max="8468" width="16.42578125" style="1" customWidth="1"/>
    <col min="8469" max="8472" width="0" style="1" hidden="1" customWidth="1"/>
    <col min="8473" max="8473" width="13.42578125" style="1" bestFit="1" customWidth="1"/>
    <col min="8474" max="8708" width="13.140625" style="1"/>
    <col min="8709" max="8709" width="41.5703125" style="1" customWidth="1"/>
    <col min="8710" max="8710" width="7.42578125" style="1" customWidth="1"/>
    <col min="8711" max="8711" width="7" style="1" customWidth="1"/>
    <col min="8712" max="8712" width="13.140625" style="1" customWidth="1"/>
    <col min="8713" max="8713" width="4.5703125" style="1" customWidth="1"/>
    <col min="8714" max="8714" width="6" style="1" customWidth="1"/>
    <col min="8715" max="8715" width="8.85546875" style="1" customWidth="1"/>
    <col min="8716" max="8723" width="0" style="1" hidden="1" customWidth="1"/>
    <col min="8724" max="8724" width="16.42578125" style="1" customWidth="1"/>
    <col min="8725" max="8728" width="0" style="1" hidden="1" customWidth="1"/>
    <col min="8729" max="8729" width="13.42578125" style="1" bestFit="1" customWidth="1"/>
    <col min="8730" max="8964" width="13.140625" style="1"/>
    <col min="8965" max="8965" width="41.5703125" style="1" customWidth="1"/>
    <col min="8966" max="8966" width="7.42578125" style="1" customWidth="1"/>
    <col min="8967" max="8967" width="7" style="1" customWidth="1"/>
    <col min="8968" max="8968" width="13.140625" style="1" customWidth="1"/>
    <col min="8969" max="8969" width="4.5703125" style="1" customWidth="1"/>
    <col min="8970" max="8970" width="6" style="1" customWidth="1"/>
    <col min="8971" max="8971" width="8.85546875" style="1" customWidth="1"/>
    <col min="8972" max="8979" width="0" style="1" hidden="1" customWidth="1"/>
    <col min="8980" max="8980" width="16.42578125" style="1" customWidth="1"/>
    <col min="8981" max="8984" width="0" style="1" hidden="1" customWidth="1"/>
    <col min="8985" max="8985" width="13.42578125" style="1" bestFit="1" customWidth="1"/>
    <col min="8986" max="9220" width="13.140625" style="1"/>
    <col min="9221" max="9221" width="41.5703125" style="1" customWidth="1"/>
    <col min="9222" max="9222" width="7.42578125" style="1" customWidth="1"/>
    <col min="9223" max="9223" width="7" style="1" customWidth="1"/>
    <col min="9224" max="9224" width="13.140625" style="1" customWidth="1"/>
    <col min="9225" max="9225" width="4.5703125" style="1" customWidth="1"/>
    <col min="9226" max="9226" width="6" style="1" customWidth="1"/>
    <col min="9227" max="9227" width="8.85546875" style="1" customWidth="1"/>
    <col min="9228" max="9235" width="0" style="1" hidden="1" customWidth="1"/>
    <col min="9236" max="9236" width="16.42578125" style="1" customWidth="1"/>
    <col min="9237" max="9240" width="0" style="1" hidden="1" customWidth="1"/>
    <col min="9241" max="9241" width="13.42578125" style="1" bestFit="1" customWidth="1"/>
    <col min="9242" max="9476" width="13.140625" style="1"/>
    <col min="9477" max="9477" width="41.5703125" style="1" customWidth="1"/>
    <col min="9478" max="9478" width="7.42578125" style="1" customWidth="1"/>
    <col min="9479" max="9479" width="7" style="1" customWidth="1"/>
    <col min="9480" max="9480" width="13.140625" style="1" customWidth="1"/>
    <col min="9481" max="9481" width="4.5703125" style="1" customWidth="1"/>
    <col min="9482" max="9482" width="6" style="1" customWidth="1"/>
    <col min="9483" max="9483" width="8.85546875" style="1" customWidth="1"/>
    <col min="9484" max="9491" width="0" style="1" hidden="1" customWidth="1"/>
    <col min="9492" max="9492" width="16.42578125" style="1" customWidth="1"/>
    <col min="9493" max="9496" width="0" style="1" hidden="1" customWidth="1"/>
    <col min="9497" max="9497" width="13.42578125" style="1" bestFit="1" customWidth="1"/>
    <col min="9498" max="9732" width="13.140625" style="1"/>
    <col min="9733" max="9733" width="41.5703125" style="1" customWidth="1"/>
    <col min="9734" max="9734" width="7.42578125" style="1" customWidth="1"/>
    <col min="9735" max="9735" width="7" style="1" customWidth="1"/>
    <col min="9736" max="9736" width="13.140625" style="1" customWidth="1"/>
    <col min="9737" max="9737" width="4.5703125" style="1" customWidth="1"/>
    <col min="9738" max="9738" width="6" style="1" customWidth="1"/>
    <col min="9739" max="9739" width="8.85546875" style="1" customWidth="1"/>
    <col min="9740" max="9747" width="0" style="1" hidden="1" customWidth="1"/>
    <col min="9748" max="9748" width="16.42578125" style="1" customWidth="1"/>
    <col min="9749" max="9752" width="0" style="1" hidden="1" customWidth="1"/>
    <col min="9753" max="9753" width="13.42578125" style="1" bestFit="1" customWidth="1"/>
    <col min="9754" max="9988" width="13.140625" style="1"/>
    <col min="9989" max="9989" width="41.5703125" style="1" customWidth="1"/>
    <col min="9990" max="9990" width="7.42578125" style="1" customWidth="1"/>
    <col min="9991" max="9991" width="7" style="1" customWidth="1"/>
    <col min="9992" max="9992" width="13.140625" style="1" customWidth="1"/>
    <col min="9993" max="9993" width="4.5703125" style="1" customWidth="1"/>
    <col min="9994" max="9994" width="6" style="1" customWidth="1"/>
    <col min="9995" max="9995" width="8.85546875" style="1" customWidth="1"/>
    <col min="9996" max="10003" width="0" style="1" hidden="1" customWidth="1"/>
    <col min="10004" max="10004" width="16.42578125" style="1" customWidth="1"/>
    <col min="10005" max="10008" width="0" style="1" hidden="1" customWidth="1"/>
    <col min="10009" max="10009" width="13.42578125" style="1" bestFit="1" customWidth="1"/>
    <col min="10010" max="10244" width="13.140625" style="1"/>
    <col min="10245" max="10245" width="41.5703125" style="1" customWidth="1"/>
    <col min="10246" max="10246" width="7.42578125" style="1" customWidth="1"/>
    <col min="10247" max="10247" width="7" style="1" customWidth="1"/>
    <col min="10248" max="10248" width="13.140625" style="1" customWidth="1"/>
    <col min="10249" max="10249" width="4.5703125" style="1" customWidth="1"/>
    <col min="10250" max="10250" width="6" style="1" customWidth="1"/>
    <col min="10251" max="10251" width="8.85546875" style="1" customWidth="1"/>
    <col min="10252" max="10259" width="0" style="1" hidden="1" customWidth="1"/>
    <col min="10260" max="10260" width="16.42578125" style="1" customWidth="1"/>
    <col min="10261" max="10264" width="0" style="1" hidden="1" customWidth="1"/>
    <col min="10265" max="10265" width="13.42578125" style="1" bestFit="1" customWidth="1"/>
    <col min="10266" max="10500" width="13.140625" style="1"/>
    <col min="10501" max="10501" width="41.5703125" style="1" customWidth="1"/>
    <col min="10502" max="10502" width="7.42578125" style="1" customWidth="1"/>
    <col min="10503" max="10503" width="7" style="1" customWidth="1"/>
    <col min="10504" max="10504" width="13.140625" style="1" customWidth="1"/>
    <col min="10505" max="10505" width="4.5703125" style="1" customWidth="1"/>
    <col min="10506" max="10506" width="6" style="1" customWidth="1"/>
    <col min="10507" max="10507" width="8.85546875" style="1" customWidth="1"/>
    <col min="10508" max="10515" width="0" style="1" hidden="1" customWidth="1"/>
    <col min="10516" max="10516" width="16.42578125" style="1" customWidth="1"/>
    <col min="10517" max="10520" width="0" style="1" hidden="1" customWidth="1"/>
    <col min="10521" max="10521" width="13.42578125" style="1" bestFit="1" customWidth="1"/>
    <col min="10522" max="10756" width="13.140625" style="1"/>
    <col min="10757" max="10757" width="41.5703125" style="1" customWidth="1"/>
    <col min="10758" max="10758" width="7.42578125" style="1" customWidth="1"/>
    <col min="10759" max="10759" width="7" style="1" customWidth="1"/>
    <col min="10760" max="10760" width="13.140625" style="1" customWidth="1"/>
    <col min="10761" max="10761" width="4.5703125" style="1" customWidth="1"/>
    <col min="10762" max="10762" width="6" style="1" customWidth="1"/>
    <col min="10763" max="10763" width="8.85546875" style="1" customWidth="1"/>
    <col min="10764" max="10771" width="0" style="1" hidden="1" customWidth="1"/>
    <col min="10772" max="10772" width="16.42578125" style="1" customWidth="1"/>
    <col min="10773" max="10776" width="0" style="1" hidden="1" customWidth="1"/>
    <col min="10777" max="10777" width="13.42578125" style="1" bestFit="1" customWidth="1"/>
    <col min="10778" max="11012" width="13.140625" style="1"/>
    <col min="11013" max="11013" width="41.5703125" style="1" customWidth="1"/>
    <col min="11014" max="11014" width="7.42578125" style="1" customWidth="1"/>
    <col min="11015" max="11015" width="7" style="1" customWidth="1"/>
    <col min="11016" max="11016" width="13.140625" style="1" customWidth="1"/>
    <col min="11017" max="11017" width="4.5703125" style="1" customWidth="1"/>
    <col min="11018" max="11018" width="6" style="1" customWidth="1"/>
    <col min="11019" max="11019" width="8.85546875" style="1" customWidth="1"/>
    <col min="11020" max="11027" width="0" style="1" hidden="1" customWidth="1"/>
    <col min="11028" max="11028" width="16.42578125" style="1" customWidth="1"/>
    <col min="11029" max="11032" width="0" style="1" hidden="1" customWidth="1"/>
    <col min="11033" max="11033" width="13.42578125" style="1" bestFit="1" customWidth="1"/>
    <col min="11034" max="11268" width="13.140625" style="1"/>
    <col min="11269" max="11269" width="41.5703125" style="1" customWidth="1"/>
    <col min="11270" max="11270" width="7.42578125" style="1" customWidth="1"/>
    <col min="11271" max="11271" width="7" style="1" customWidth="1"/>
    <col min="11272" max="11272" width="13.140625" style="1" customWidth="1"/>
    <col min="11273" max="11273" width="4.5703125" style="1" customWidth="1"/>
    <col min="11274" max="11274" width="6" style="1" customWidth="1"/>
    <col min="11275" max="11275" width="8.85546875" style="1" customWidth="1"/>
    <col min="11276" max="11283" width="0" style="1" hidden="1" customWidth="1"/>
    <col min="11284" max="11284" width="16.42578125" style="1" customWidth="1"/>
    <col min="11285" max="11288" width="0" style="1" hidden="1" customWidth="1"/>
    <col min="11289" max="11289" width="13.42578125" style="1" bestFit="1" customWidth="1"/>
    <col min="11290" max="11524" width="13.140625" style="1"/>
    <col min="11525" max="11525" width="41.5703125" style="1" customWidth="1"/>
    <col min="11526" max="11526" width="7.42578125" style="1" customWidth="1"/>
    <col min="11527" max="11527" width="7" style="1" customWidth="1"/>
    <col min="11528" max="11528" width="13.140625" style="1" customWidth="1"/>
    <col min="11529" max="11529" width="4.5703125" style="1" customWidth="1"/>
    <col min="11530" max="11530" width="6" style="1" customWidth="1"/>
    <col min="11531" max="11531" width="8.85546875" style="1" customWidth="1"/>
    <col min="11532" max="11539" width="0" style="1" hidden="1" customWidth="1"/>
    <col min="11540" max="11540" width="16.42578125" style="1" customWidth="1"/>
    <col min="11541" max="11544" width="0" style="1" hidden="1" customWidth="1"/>
    <col min="11545" max="11545" width="13.42578125" style="1" bestFit="1" customWidth="1"/>
    <col min="11546" max="11780" width="13.140625" style="1"/>
    <col min="11781" max="11781" width="41.5703125" style="1" customWidth="1"/>
    <col min="11782" max="11782" width="7.42578125" style="1" customWidth="1"/>
    <col min="11783" max="11783" width="7" style="1" customWidth="1"/>
    <col min="11784" max="11784" width="13.140625" style="1" customWidth="1"/>
    <col min="11785" max="11785" width="4.5703125" style="1" customWidth="1"/>
    <col min="11786" max="11786" width="6" style="1" customWidth="1"/>
    <col min="11787" max="11787" width="8.85546875" style="1" customWidth="1"/>
    <col min="11788" max="11795" width="0" style="1" hidden="1" customWidth="1"/>
    <col min="11796" max="11796" width="16.42578125" style="1" customWidth="1"/>
    <col min="11797" max="11800" width="0" style="1" hidden="1" customWidth="1"/>
    <col min="11801" max="11801" width="13.42578125" style="1" bestFit="1" customWidth="1"/>
    <col min="11802" max="12036" width="13.140625" style="1"/>
    <col min="12037" max="12037" width="41.5703125" style="1" customWidth="1"/>
    <col min="12038" max="12038" width="7.42578125" style="1" customWidth="1"/>
    <col min="12039" max="12039" width="7" style="1" customWidth="1"/>
    <col min="12040" max="12040" width="13.140625" style="1" customWidth="1"/>
    <col min="12041" max="12041" width="4.5703125" style="1" customWidth="1"/>
    <col min="12042" max="12042" width="6" style="1" customWidth="1"/>
    <col min="12043" max="12043" width="8.85546875" style="1" customWidth="1"/>
    <col min="12044" max="12051" width="0" style="1" hidden="1" customWidth="1"/>
    <col min="12052" max="12052" width="16.42578125" style="1" customWidth="1"/>
    <col min="12053" max="12056" width="0" style="1" hidden="1" customWidth="1"/>
    <col min="12057" max="12057" width="13.42578125" style="1" bestFit="1" customWidth="1"/>
    <col min="12058" max="12292" width="13.140625" style="1"/>
    <col min="12293" max="12293" width="41.5703125" style="1" customWidth="1"/>
    <col min="12294" max="12294" width="7.42578125" style="1" customWidth="1"/>
    <col min="12295" max="12295" width="7" style="1" customWidth="1"/>
    <col min="12296" max="12296" width="13.140625" style="1" customWidth="1"/>
    <col min="12297" max="12297" width="4.5703125" style="1" customWidth="1"/>
    <col min="12298" max="12298" width="6" style="1" customWidth="1"/>
    <col min="12299" max="12299" width="8.85546875" style="1" customWidth="1"/>
    <col min="12300" max="12307" width="0" style="1" hidden="1" customWidth="1"/>
    <col min="12308" max="12308" width="16.42578125" style="1" customWidth="1"/>
    <col min="12309" max="12312" width="0" style="1" hidden="1" customWidth="1"/>
    <col min="12313" max="12313" width="13.42578125" style="1" bestFit="1" customWidth="1"/>
    <col min="12314" max="12548" width="13.140625" style="1"/>
    <col min="12549" max="12549" width="41.5703125" style="1" customWidth="1"/>
    <col min="12550" max="12550" width="7.42578125" style="1" customWidth="1"/>
    <col min="12551" max="12551" width="7" style="1" customWidth="1"/>
    <col min="12552" max="12552" width="13.140625" style="1" customWidth="1"/>
    <col min="12553" max="12553" width="4.5703125" style="1" customWidth="1"/>
    <col min="12554" max="12554" width="6" style="1" customWidth="1"/>
    <col min="12555" max="12555" width="8.85546875" style="1" customWidth="1"/>
    <col min="12556" max="12563" width="0" style="1" hidden="1" customWidth="1"/>
    <col min="12564" max="12564" width="16.42578125" style="1" customWidth="1"/>
    <col min="12565" max="12568" width="0" style="1" hidden="1" customWidth="1"/>
    <col min="12569" max="12569" width="13.42578125" style="1" bestFit="1" customWidth="1"/>
    <col min="12570" max="12804" width="13.140625" style="1"/>
    <col min="12805" max="12805" width="41.5703125" style="1" customWidth="1"/>
    <col min="12806" max="12806" width="7.42578125" style="1" customWidth="1"/>
    <col min="12807" max="12807" width="7" style="1" customWidth="1"/>
    <col min="12808" max="12808" width="13.140625" style="1" customWidth="1"/>
    <col min="12809" max="12809" width="4.5703125" style="1" customWidth="1"/>
    <col min="12810" max="12810" width="6" style="1" customWidth="1"/>
    <col min="12811" max="12811" width="8.85546875" style="1" customWidth="1"/>
    <col min="12812" max="12819" width="0" style="1" hidden="1" customWidth="1"/>
    <col min="12820" max="12820" width="16.42578125" style="1" customWidth="1"/>
    <col min="12821" max="12824" width="0" style="1" hidden="1" customWidth="1"/>
    <col min="12825" max="12825" width="13.42578125" style="1" bestFit="1" customWidth="1"/>
    <col min="12826" max="13060" width="13.140625" style="1"/>
    <col min="13061" max="13061" width="41.5703125" style="1" customWidth="1"/>
    <col min="13062" max="13062" width="7.42578125" style="1" customWidth="1"/>
    <col min="13063" max="13063" width="7" style="1" customWidth="1"/>
    <col min="13064" max="13064" width="13.140625" style="1" customWidth="1"/>
    <col min="13065" max="13065" width="4.5703125" style="1" customWidth="1"/>
    <col min="13066" max="13066" width="6" style="1" customWidth="1"/>
    <col min="13067" max="13067" width="8.85546875" style="1" customWidth="1"/>
    <col min="13068" max="13075" width="0" style="1" hidden="1" customWidth="1"/>
    <col min="13076" max="13076" width="16.42578125" style="1" customWidth="1"/>
    <col min="13077" max="13080" width="0" style="1" hidden="1" customWidth="1"/>
    <col min="13081" max="13081" width="13.42578125" style="1" bestFit="1" customWidth="1"/>
    <col min="13082" max="13316" width="13.140625" style="1"/>
    <col min="13317" max="13317" width="41.5703125" style="1" customWidth="1"/>
    <col min="13318" max="13318" width="7.42578125" style="1" customWidth="1"/>
    <col min="13319" max="13319" width="7" style="1" customWidth="1"/>
    <col min="13320" max="13320" width="13.140625" style="1" customWidth="1"/>
    <col min="13321" max="13321" width="4.5703125" style="1" customWidth="1"/>
    <col min="13322" max="13322" width="6" style="1" customWidth="1"/>
    <col min="13323" max="13323" width="8.85546875" style="1" customWidth="1"/>
    <col min="13324" max="13331" width="0" style="1" hidden="1" customWidth="1"/>
    <col min="13332" max="13332" width="16.42578125" style="1" customWidth="1"/>
    <col min="13333" max="13336" width="0" style="1" hidden="1" customWidth="1"/>
    <col min="13337" max="13337" width="13.42578125" style="1" bestFit="1" customWidth="1"/>
    <col min="13338" max="13572" width="13.140625" style="1"/>
    <col min="13573" max="13573" width="41.5703125" style="1" customWidth="1"/>
    <col min="13574" max="13574" width="7.42578125" style="1" customWidth="1"/>
    <col min="13575" max="13575" width="7" style="1" customWidth="1"/>
    <col min="13576" max="13576" width="13.140625" style="1" customWidth="1"/>
    <col min="13577" max="13577" width="4.5703125" style="1" customWidth="1"/>
    <col min="13578" max="13578" width="6" style="1" customWidth="1"/>
    <col min="13579" max="13579" width="8.85546875" style="1" customWidth="1"/>
    <col min="13580" max="13587" width="0" style="1" hidden="1" customWidth="1"/>
    <col min="13588" max="13588" width="16.42578125" style="1" customWidth="1"/>
    <col min="13589" max="13592" width="0" style="1" hidden="1" customWidth="1"/>
    <col min="13593" max="13593" width="13.42578125" style="1" bestFit="1" customWidth="1"/>
    <col min="13594" max="13828" width="13.140625" style="1"/>
    <col min="13829" max="13829" width="41.5703125" style="1" customWidth="1"/>
    <col min="13830" max="13830" width="7.42578125" style="1" customWidth="1"/>
    <col min="13831" max="13831" width="7" style="1" customWidth="1"/>
    <col min="13832" max="13832" width="13.140625" style="1" customWidth="1"/>
    <col min="13833" max="13833" width="4.5703125" style="1" customWidth="1"/>
    <col min="13834" max="13834" width="6" style="1" customWidth="1"/>
    <col min="13835" max="13835" width="8.85546875" style="1" customWidth="1"/>
    <col min="13836" max="13843" width="0" style="1" hidden="1" customWidth="1"/>
    <col min="13844" max="13844" width="16.42578125" style="1" customWidth="1"/>
    <col min="13845" max="13848" width="0" style="1" hidden="1" customWidth="1"/>
    <col min="13849" max="13849" width="13.42578125" style="1" bestFit="1" customWidth="1"/>
    <col min="13850" max="14084" width="13.140625" style="1"/>
    <col min="14085" max="14085" width="41.5703125" style="1" customWidth="1"/>
    <col min="14086" max="14086" width="7.42578125" style="1" customWidth="1"/>
    <col min="14087" max="14087" width="7" style="1" customWidth="1"/>
    <col min="14088" max="14088" width="13.140625" style="1" customWidth="1"/>
    <col min="14089" max="14089" width="4.5703125" style="1" customWidth="1"/>
    <col min="14090" max="14090" width="6" style="1" customWidth="1"/>
    <col min="14091" max="14091" width="8.85546875" style="1" customWidth="1"/>
    <col min="14092" max="14099" width="0" style="1" hidden="1" customWidth="1"/>
    <col min="14100" max="14100" width="16.42578125" style="1" customWidth="1"/>
    <col min="14101" max="14104" width="0" style="1" hidden="1" customWidth="1"/>
    <col min="14105" max="14105" width="13.42578125" style="1" bestFit="1" customWidth="1"/>
    <col min="14106" max="14340" width="13.140625" style="1"/>
    <col min="14341" max="14341" width="41.5703125" style="1" customWidth="1"/>
    <col min="14342" max="14342" width="7.42578125" style="1" customWidth="1"/>
    <col min="14343" max="14343" width="7" style="1" customWidth="1"/>
    <col min="14344" max="14344" width="13.140625" style="1" customWidth="1"/>
    <col min="14345" max="14345" width="4.5703125" style="1" customWidth="1"/>
    <col min="14346" max="14346" width="6" style="1" customWidth="1"/>
    <col min="14347" max="14347" width="8.85546875" style="1" customWidth="1"/>
    <col min="14348" max="14355" width="0" style="1" hidden="1" customWidth="1"/>
    <col min="14356" max="14356" width="16.42578125" style="1" customWidth="1"/>
    <col min="14357" max="14360" width="0" style="1" hidden="1" customWidth="1"/>
    <col min="14361" max="14361" width="13.42578125" style="1" bestFit="1" customWidth="1"/>
    <col min="14362" max="14596" width="13.140625" style="1"/>
    <col min="14597" max="14597" width="41.5703125" style="1" customWidth="1"/>
    <col min="14598" max="14598" width="7.42578125" style="1" customWidth="1"/>
    <col min="14599" max="14599" width="7" style="1" customWidth="1"/>
    <col min="14600" max="14600" width="13.140625" style="1" customWidth="1"/>
    <col min="14601" max="14601" width="4.5703125" style="1" customWidth="1"/>
    <col min="14602" max="14602" width="6" style="1" customWidth="1"/>
    <col min="14603" max="14603" width="8.85546875" style="1" customWidth="1"/>
    <col min="14604" max="14611" width="0" style="1" hidden="1" customWidth="1"/>
    <col min="14612" max="14612" width="16.42578125" style="1" customWidth="1"/>
    <col min="14613" max="14616" width="0" style="1" hidden="1" customWidth="1"/>
    <col min="14617" max="14617" width="13.42578125" style="1" bestFit="1" customWidth="1"/>
    <col min="14618" max="14852" width="13.140625" style="1"/>
    <col min="14853" max="14853" width="41.5703125" style="1" customWidth="1"/>
    <col min="14854" max="14854" width="7.42578125" style="1" customWidth="1"/>
    <col min="14855" max="14855" width="7" style="1" customWidth="1"/>
    <col min="14856" max="14856" width="13.140625" style="1" customWidth="1"/>
    <col min="14857" max="14857" width="4.5703125" style="1" customWidth="1"/>
    <col min="14858" max="14858" width="6" style="1" customWidth="1"/>
    <col min="14859" max="14859" width="8.85546875" style="1" customWidth="1"/>
    <col min="14860" max="14867" width="0" style="1" hidden="1" customWidth="1"/>
    <col min="14868" max="14868" width="16.42578125" style="1" customWidth="1"/>
    <col min="14869" max="14872" width="0" style="1" hidden="1" customWidth="1"/>
    <col min="14873" max="14873" width="13.42578125" style="1" bestFit="1" customWidth="1"/>
    <col min="14874" max="15108" width="13.140625" style="1"/>
    <col min="15109" max="15109" width="41.5703125" style="1" customWidth="1"/>
    <col min="15110" max="15110" width="7.42578125" style="1" customWidth="1"/>
    <col min="15111" max="15111" width="7" style="1" customWidth="1"/>
    <col min="15112" max="15112" width="13.140625" style="1" customWidth="1"/>
    <col min="15113" max="15113" width="4.5703125" style="1" customWidth="1"/>
    <col min="15114" max="15114" width="6" style="1" customWidth="1"/>
    <col min="15115" max="15115" width="8.85546875" style="1" customWidth="1"/>
    <col min="15116" max="15123" width="0" style="1" hidden="1" customWidth="1"/>
    <col min="15124" max="15124" width="16.42578125" style="1" customWidth="1"/>
    <col min="15125" max="15128" width="0" style="1" hidden="1" customWidth="1"/>
    <col min="15129" max="15129" width="13.42578125" style="1" bestFit="1" customWidth="1"/>
    <col min="15130" max="15364" width="13.140625" style="1"/>
    <col min="15365" max="15365" width="41.5703125" style="1" customWidth="1"/>
    <col min="15366" max="15366" width="7.42578125" style="1" customWidth="1"/>
    <col min="15367" max="15367" width="7" style="1" customWidth="1"/>
    <col min="15368" max="15368" width="13.140625" style="1" customWidth="1"/>
    <col min="15369" max="15369" width="4.5703125" style="1" customWidth="1"/>
    <col min="15370" max="15370" width="6" style="1" customWidth="1"/>
    <col min="15371" max="15371" width="8.85546875" style="1" customWidth="1"/>
    <col min="15372" max="15379" width="0" style="1" hidden="1" customWidth="1"/>
    <col min="15380" max="15380" width="16.42578125" style="1" customWidth="1"/>
    <col min="15381" max="15384" width="0" style="1" hidden="1" customWidth="1"/>
    <col min="15385" max="15385" width="13.42578125" style="1" bestFit="1" customWidth="1"/>
    <col min="15386" max="15620" width="13.140625" style="1"/>
    <col min="15621" max="15621" width="41.5703125" style="1" customWidth="1"/>
    <col min="15622" max="15622" width="7.42578125" style="1" customWidth="1"/>
    <col min="15623" max="15623" width="7" style="1" customWidth="1"/>
    <col min="15624" max="15624" width="13.140625" style="1" customWidth="1"/>
    <col min="15625" max="15625" width="4.5703125" style="1" customWidth="1"/>
    <col min="15626" max="15626" width="6" style="1" customWidth="1"/>
    <col min="15627" max="15627" width="8.85546875" style="1" customWidth="1"/>
    <col min="15628" max="15635" width="0" style="1" hidden="1" customWidth="1"/>
    <col min="15636" max="15636" width="16.42578125" style="1" customWidth="1"/>
    <col min="15637" max="15640" width="0" style="1" hidden="1" customWidth="1"/>
    <col min="15641" max="15641" width="13.42578125" style="1" bestFit="1" customWidth="1"/>
    <col min="15642" max="15876" width="13.140625" style="1"/>
    <col min="15877" max="15877" width="41.5703125" style="1" customWidth="1"/>
    <col min="15878" max="15878" width="7.42578125" style="1" customWidth="1"/>
    <col min="15879" max="15879" width="7" style="1" customWidth="1"/>
    <col min="15880" max="15880" width="13.140625" style="1" customWidth="1"/>
    <col min="15881" max="15881" width="4.5703125" style="1" customWidth="1"/>
    <col min="15882" max="15882" width="6" style="1" customWidth="1"/>
    <col min="15883" max="15883" width="8.85546875" style="1" customWidth="1"/>
    <col min="15884" max="15891" width="0" style="1" hidden="1" customWidth="1"/>
    <col min="15892" max="15892" width="16.42578125" style="1" customWidth="1"/>
    <col min="15893" max="15896" width="0" style="1" hidden="1" customWidth="1"/>
    <col min="15897" max="15897" width="13.42578125" style="1" bestFit="1" customWidth="1"/>
    <col min="15898" max="16132" width="13.140625" style="1"/>
    <col min="16133" max="16133" width="41.5703125" style="1" customWidth="1"/>
    <col min="16134" max="16134" width="7.42578125" style="1" customWidth="1"/>
    <col min="16135" max="16135" width="7" style="1" customWidth="1"/>
    <col min="16136" max="16136" width="13.140625" style="1" customWidth="1"/>
    <col min="16137" max="16137" width="4.5703125" style="1" customWidth="1"/>
    <col min="16138" max="16138" width="6" style="1" customWidth="1"/>
    <col min="16139" max="16139" width="8.85546875" style="1" customWidth="1"/>
    <col min="16140" max="16147" width="0" style="1" hidden="1" customWidth="1"/>
    <col min="16148" max="16148" width="16.42578125" style="1" customWidth="1"/>
    <col min="16149" max="16152" width="0" style="1" hidden="1" customWidth="1"/>
    <col min="16153" max="16153" width="13.42578125" style="1" bestFit="1" customWidth="1"/>
    <col min="16154" max="16384" width="13.140625" style="1"/>
  </cols>
  <sheetData>
    <row r="1" spans="1:32" ht="15.75" x14ac:dyDescent="0.25">
      <c r="A1" s="316"/>
      <c r="B1" s="406"/>
      <c r="C1" s="406"/>
      <c r="D1" s="407"/>
      <c r="E1" s="408"/>
      <c r="F1" s="408"/>
      <c r="G1" s="316"/>
      <c r="H1" s="409"/>
      <c r="I1" s="409"/>
      <c r="J1" s="407"/>
      <c r="K1" s="408"/>
      <c r="L1" s="408"/>
      <c r="M1" s="316"/>
      <c r="N1" s="316"/>
      <c r="O1" s="316"/>
      <c r="Q1" s="407"/>
      <c r="R1" s="408"/>
      <c r="S1" s="411"/>
      <c r="T1" s="407"/>
      <c r="U1" s="537" t="s">
        <v>639</v>
      </c>
      <c r="V1" s="537"/>
      <c r="W1" s="537"/>
      <c r="X1" s="537"/>
      <c r="Y1" s="412"/>
      <c r="AA1" s="269"/>
      <c r="AB1" s="269"/>
      <c r="AC1" s="267"/>
      <c r="AD1" s="268"/>
      <c r="AE1" s="268"/>
    </row>
    <row r="2" spans="1:32" ht="15.75" x14ac:dyDescent="0.25">
      <c r="A2" s="316"/>
      <c r="B2" s="406"/>
      <c r="C2" s="406"/>
      <c r="D2" s="407"/>
      <c r="E2" s="408"/>
      <c r="F2" s="408"/>
      <c r="G2" s="514"/>
      <c r="H2" s="514"/>
      <c r="I2" s="514"/>
      <c r="J2" s="514"/>
      <c r="K2" s="514"/>
      <c r="L2" s="514"/>
      <c r="M2" s="514"/>
      <c r="N2" s="514"/>
      <c r="O2" s="514"/>
      <c r="P2" s="514"/>
      <c r="Q2" s="514"/>
      <c r="R2" s="514"/>
      <c r="S2" s="514"/>
      <c r="T2" s="514"/>
      <c r="U2" s="538" t="s">
        <v>391</v>
      </c>
      <c r="V2" s="538"/>
      <c r="W2" s="538"/>
      <c r="X2" s="538"/>
      <c r="Y2" s="412"/>
      <c r="AA2" s="269"/>
      <c r="AB2" s="269"/>
      <c r="AC2" s="267"/>
      <c r="AD2" s="268"/>
      <c r="AE2" s="268"/>
    </row>
    <row r="3" spans="1:32" ht="15.75" x14ac:dyDescent="0.25">
      <c r="A3" s="316"/>
      <c r="B3" s="406"/>
      <c r="C3" s="406"/>
      <c r="D3" s="413"/>
      <c r="E3" s="411"/>
      <c r="F3" s="411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  <c r="R3" s="413"/>
      <c r="S3" s="413"/>
      <c r="T3" s="413"/>
      <c r="U3" s="537" t="s">
        <v>640</v>
      </c>
      <c r="V3" s="537"/>
      <c r="W3" s="537"/>
      <c r="X3" s="537"/>
      <c r="Y3" s="408"/>
      <c r="AA3" s="269"/>
      <c r="AB3" s="269"/>
      <c r="AC3" s="270"/>
      <c r="AD3" s="271"/>
      <c r="AE3" s="271"/>
    </row>
    <row r="4" spans="1:32" ht="15.75" customHeight="1" x14ac:dyDescent="0.25">
      <c r="A4" s="316"/>
      <c r="B4" s="406"/>
      <c r="C4" s="406"/>
      <c r="D4" s="414"/>
      <c r="E4" s="414"/>
      <c r="F4" s="414"/>
      <c r="G4" s="405"/>
      <c r="H4" s="405"/>
      <c r="I4" s="405"/>
      <c r="J4" s="405"/>
      <c r="K4" s="405"/>
      <c r="L4" s="405"/>
      <c r="M4" s="405"/>
      <c r="N4" s="405"/>
      <c r="O4" s="405"/>
      <c r="P4" s="405"/>
      <c r="Q4" s="405"/>
      <c r="R4" s="405"/>
      <c r="S4" s="405"/>
      <c r="T4" s="405"/>
      <c r="U4" s="405"/>
      <c r="V4" s="405"/>
      <c r="W4" s="405"/>
      <c r="X4" s="405"/>
      <c r="Y4" s="411"/>
      <c r="Z4" s="286"/>
      <c r="AA4" s="267"/>
      <c r="AB4" s="268"/>
      <c r="AC4" s="271"/>
      <c r="AD4" s="276"/>
      <c r="AE4" s="276"/>
      <c r="AF4" s="276"/>
    </row>
    <row r="5" spans="1:32" ht="15.75" hidden="1" customHeight="1" x14ac:dyDescent="0.25">
      <c r="A5" s="316"/>
      <c r="B5" s="406"/>
      <c r="C5" s="406"/>
      <c r="D5" s="405"/>
      <c r="E5" s="405"/>
      <c r="F5" s="405"/>
      <c r="G5" s="513"/>
      <c r="H5" s="513"/>
      <c r="I5" s="513"/>
      <c r="J5" s="513"/>
      <c r="K5" s="513"/>
      <c r="L5" s="513"/>
      <c r="M5" s="513"/>
      <c r="N5" s="513"/>
      <c r="O5" s="513"/>
      <c r="P5" s="513"/>
      <c r="Q5" s="513"/>
      <c r="R5" s="513"/>
      <c r="S5" s="513"/>
      <c r="T5" s="513"/>
      <c r="U5" s="513"/>
      <c r="V5" s="513"/>
      <c r="W5" s="513"/>
      <c r="X5" s="513"/>
      <c r="Y5" s="411"/>
      <c r="Z5" s="286"/>
      <c r="AA5" s="267"/>
      <c r="AB5" s="268"/>
      <c r="AC5" s="271"/>
      <c r="AD5" s="276"/>
      <c r="AE5" s="276"/>
      <c r="AF5" s="276"/>
    </row>
    <row r="6" spans="1:32" ht="15.75" customHeight="1" x14ac:dyDescent="0.25">
      <c r="A6" s="316"/>
      <c r="B6" s="406"/>
      <c r="C6" s="406"/>
      <c r="D6" s="405"/>
      <c r="E6" s="405"/>
      <c r="F6" s="405"/>
      <c r="G6" s="513"/>
      <c r="H6" s="513"/>
      <c r="I6" s="513"/>
      <c r="J6" s="513"/>
      <c r="K6" s="513"/>
      <c r="L6" s="513"/>
      <c r="M6" s="513"/>
      <c r="N6" s="513"/>
      <c r="O6" s="513"/>
      <c r="P6" s="513"/>
      <c r="Q6" s="513"/>
      <c r="R6" s="513"/>
      <c r="S6" s="513"/>
      <c r="T6" s="513"/>
      <c r="U6" s="513"/>
      <c r="V6" s="513"/>
      <c r="W6" s="513"/>
      <c r="X6" s="513"/>
      <c r="Y6" s="411"/>
      <c r="Z6" s="286"/>
      <c r="AA6" s="267"/>
      <c r="AB6" s="268"/>
      <c r="AC6" s="271"/>
      <c r="AD6" s="276"/>
      <c r="AE6" s="276"/>
      <c r="AF6" s="276"/>
    </row>
    <row r="7" spans="1:32" ht="15.75" customHeight="1" x14ac:dyDescent="0.25">
      <c r="A7" s="316"/>
      <c r="B7" s="406"/>
      <c r="C7" s="406"/>
      <c r="D7" s="405"/>
      <c r="E7" s="405"/>
      <c r="F7" s="405"/>
      <c r="G7" s="405"/>
      <c r="H7" s="405"/>
      <c r="I7" s="405"/>
      <c r="J7" s="405"/>
      <c r="K7" s="405"/>
      <c r="L7" s="405"/>
      <c r="M7" s="405"/>
      <c r="N7" s="316"/>
      <c r="O7" s="316"/>
      <c r="Q7" s="405"/>
      <c r="R7" s="405"/>
      <c r="S7" s="411"/>
      <c r="T7" s="405"/>
      <c r="U7" s="405"/>
      <c r="V7" s="405"/>
      <c r="W7" s="405"/>
      <c r="X7" s="413"/>
      <c r="Y7" s="411"/>
      <c r="Z7" s="286"/>
      <c r="AA7" s="267"/>
      <c r="AB7" s="268"/>
      <c r="AC7" s="271"/>
      <c r="AD7" s="276"/>
      <c r="AE7" s="276"/>
      <c r="AF7" s="276"/>
    </row>
    <row r="8" spans="1:32" ht="36.75" customHeight="1" x14ac:dyDescent="0.25">
      <c r="A8" s="539" t="s">
        <v>597</v>
      </c>
      <c r="B8" s="539"/>
      <c r="C8" s="539"/>
      <c r="D8" s="539"/>
      <c r="E8" s="539"/>
      <c r="F8" s="539"/>
      <c r="G8" s="539"/>
      <c r="H8" s="539"/>
      <c r="I8" s="539"/>
      <c r="J8" s="539"/>
      <c r="K8" s="539"/>
      <c r="L8" s="539"/>
      <c r="M8" s="539"/>
      <c r="N8" s="539"/>
      <c r="O8" s="539"/>
      <c r="P8" s="539"/>
      <c r="S8" s="411"/>
      <c r="T8" s="411"/>
      <c r="U8" s="411"/>
      <c r="V8" s="411"/>
      <c r="W8" s="411"/>
      <c r="X8" s="515"/>
      <c r="Y8" s="515"/>
      <c r="AA8" s="270"/>
      <c r="AB8" s="271"/>
      <c r="AC8" s="271"/>
    </row>
    <row r="9" spans="1:32" ht="15.75" x14ac:dyDescent="0.25">
      <c r="A9" s="316"/>
      <c r="B9" s="406"/>
      <c r="C9" s="406"/>
      <c r="D9" s="406"/>
      <c r="E9" s="415"/>
      <c r="F9" s="406"/>
      <c r="G9" s="406"/>
      <c r="H9" s="329"/>
      <c r="I9" s="331"/>
      <c r="J9" s="331"/>
      <c r="K9" s="316"/>
      <c r="L9" s="316"/>
      <c r="M9" s="316"/>
      <c r="N9" s="316"/>
      <c r="O9" s="316"/>
      <c r="Y9" s="288"/>
      <c r="Z9" s="288"/>
      <c r="AA9" s="515"/>
      <c r="AB9" s="515"/>
      <c r="AC9" s="271"/>
    </row>
    <row r="10" spans="1:32" ht="16.5" thickBot="1" x14ac:dyDescent="0.3">
      <c r="A10" s="407"/>
      <c r="B10" s="408"/>
      <c r="C10" s="408"/>
      <c r="D10" s="416"/>
      <c r="E10" s="407"/>
      <c r="F10" s="408"/>
      <c r="G10" s="408"/>
      <c r="H10" s="417" t="s">
        <v>0</v>
      </c>
      <c r="I10" s="409"/>
      <c r="J10" s="409"/>
      <c r="K10" s="418"/>
      <c r="L10" s="418"/>
      <c r="M10" s="418"/>
      <c r="N10" s="418"/>
      <c r="O10" s="316"/>
      <c r="Y10" s="288"/>
      <c r="Z10" s="288"/>
      <c r="AA10" s="316"/>
      <c r="AB10" s="316"/>
      <c r="AC10" s="316"/>
    </row>
    <row r="11" spans="1:32" s="160" customFormat="1" ht="48" customHeight="1" x14ac:dyDescent="0.2">
      <c r="A11" s="2" t="s">
        <v>1</v>
      </c>
      <c r="B11" s="3" t="s">
        <v>2</v>
      </c>
      <c r="C11" s="4" t="s">
        <v>3</v>
      </c>
      <c r="D11" s="4" t="s">
        <v>4</v>
      </c>
      <c r="E11" s="5" t="s">
        <v>5</v>
      </c>
      <c r="F11" s="4" t="s">
        <v>6</v>
      </c>
      <c r="G11" s="4" t="s">
        <v>7</v>
      </c>
      <c r="H11" s="525" t="s">
        <v>8</v>
      </c>
      <c r="I11" s="525" t="s">
        <v>9</v>
      </c>
      <c r="J11" s="519" t="s">
        <v>10</v>
      </c>
      <c r="K11" s="521" t="s">
        <v>11</v>
      </c>
      <c r="L11" s="521" t="s">
        <v>12</v>
      </c>
      <c r="M11" s="521" t="s">
        <v>13</v>
      </c>
      <c r="N11" s="523" t="s">
        <v>14</v>
      </c>
      <c r="O11" s="525" t="s">
        <v>15</v>
      </c>
      <c r="P11" s="527" t="s">
        <v>598</v>
      </c>
      <c r="Q11" s="529" t="s">
        <v>9</v>
      </c>
      <c r="R11" s="529" t="s">
        <v>10</v>
      </c>
      <c r="S11" s="529" t="s">
        <v>503</v>
      </c>
      <c r="T11" s="529" t="s">
        <v>12</v>
      </c>
      <c r="U11" s="529" t="s">
        <v>13</v>
      </c>
      <c r="V11" s="529" t="s">
        <v>518</v>
      </c>
      <c r="W11" s="529" t="s">
        <v>544</v>
      </c>
      <c r="X11" s="529" t="s">
        <v>596</v>
      </c>
      <c r="Y11" s="518" t="s">
        <v>593</v>
      </c>
      <c r="Z11" s="317"/>
      <c r="AA11" s="318"/>
      <c r="AB11" s="318"/>
      <c r="AC11" s="318"/>
    </row>
    <row r="12" spans="1:32" s="160" customFormat="1" ht="15" customHeight="1" x14ac:dyDescent="0.2">
      <c r="A12" s="6"/>
      <c r="B12" s="7"/>
      <c r="C12" s="138"/>
      <c r="D12" s="138"/>
      <c r="E12" s="291"/>
      <c r="F12" s="138"/>
      <c r="G12" s="138"/>
      <c r="H12" s="526"/>
      <c r="I12" s="526"/>
      <c r="J12" s="520"/>
      <c r="K12" s="522"/>
      <c r="L12" s="522"/>
      <c r="M12" s="522"/>
      <c r="N12" s="524"/>
      <c r="O12" s="526"/>
      <c r="P12" s="528"/>
      <c r="Q12" s="528"/>
      <c r="R12" s="528"/>
      <c r="S12" s="528"/>
      <c r="T12" s="528"/>
      <c r="U12" s="528"/>
      <c r="V12" s="528"/>
      <c r="W12" s="528"/>
      <c r="X12" s="528"/>
      <c r="Y12" s="518"/>
      <c r="Z12" s="317"/>
      <c r="AA12" s="318"/>
      <c r="AB12" s="318"/>
      <c r="AC12" s="318"/>
    </row>
    <row r="13" spans="1:32" ht="15" customHeight="1" x14ac:dyDescent="0.2">
      <c r="A13" s="6"/>
      <c r="B13" s="7"/>
      <c r="C13" s="8"/>
      <c r="D13" s="8"/>
      <c r="E13" s="9"/>
      <c r="F13" s="8"/>
      <c r="G13" s="8"/>
      <c r="H13" s="284"/>
      <c r="I13" s="284"/>
      <c r="J13" s="280"/>
      <c r="K13" s="285"/>
      <c r="L13" s="285"/>
      <c r="M13" s="285"/>
      <c r="N13" s="10"/>
      <c r="O13" s="284"/>
      <c r="P13" s="419"/>
      <c r="Q13" s="404"/>
      <c r="R13" s="404"/>
      <c r="S13" s="404"/>
      <c r="T13" s="404"/>
      <c r="U13" s="404"/>
      <c r="V13" s="404"/>
      <c r="W13" s="404"/>
      <c r="X13" s="420"/>
      <c r="Y13" s="301"/>
      <c r="Z13" s="288"/>
      <c r="AA13" s="316"/>
      <c r="AB13" s="316"/>
      <c r="AC13" s="316"/>
    </row>
    <row r="14" spans="1:32" ht="26.25" customHeight="1" x14ac:dyDescent="0.2">
      <c r="A14" s="11" t="s">
        <v>16</v>
      </c>
      <c r="B14" s="12"/>
      <c r="C14" s="13" t="s">
        <v>17</v>
      </c>
      <c r="D14" s="13" t="s">
        <v>18</v>
      </c>
      <c r="E14" s="14" t="s">
        <v>19</v>
      </c>
      <c r="F14" s="13"/>
      <c r="G14" s="13"/>
      <c r="H14" s="15">
        <f>H15+H19+H54+H128+H107</f>
        <v>20507129.41</v>
      </c>
      <c r="I14" s="15" t="e">
        <f>I15+I19+I54+#REF!+#REF!+I107</f>
        <v>#REF!</v>
      </c>
      <c r="J14" s="15" t="e">
        <f>J15+J19+J54+#REF!+#REF!+J107</f>
        <v>#REF!</v>
      </c>
      <c r="K14" s="15" t="e">
        <f>K15+K19+K54+#REF!+#REF!+K107</f>
        <v>#REF!</v>
      </c>
      <c r="L14" s="15" t="e">
        <f>L15+L19+L54+#REF!+#REF!+L107</f>
        <v>#REF!</v>
      </c>
      <c r="M14" s="15" t="e">
        <f>M15+M19+M54+#REF!+#REF!+M107</f>
        <v>#REF!</v>
      </c>
      <c r="N14" s="15" t="e">
        <f>N15+N19+N54+#REF!+#REF!+N107</f>
        <v>#REF!</v>
      </c>
      <c r="O14" s="15">
        <f>O15+O19+O54+O128+O107</f>
        <v>19528202.492000002</v>
      </c>
      <c r="P14" s="256">
        <f>P15+P19+P54+P128+P107+P118</f>
        <v>13028506.909999998</v>
      </c>
      <c r="Q14" s="256">
        <f t="shared" ref="Q14:W14" si="0">Q15+Q19+Q54+Q128+Q107+Q118</f>
        <v>6697100.879999999</v>
      </c>
      <c r="R14" s="256">
        <f t="shared" si="0"/>
        <v>951772.12999999989</v>
      </c>
      <c r="S14" s="256">
        <f t="shared" si="0"/>
        <v>0</v>
      </c>
      <c r="T14" s="256">
        <f t="shared" si="0"/>
        <v>446414</v>
      </c>
      <c r="U14" s="256">
        <f t="shared" si="0"/>
        <v>1298914.75</v>
      </c>
      <c r="V14" s="256">
        <f t="shared" si="0"/>
        <v>3999999.9999999995</v>
      </c>
      <c r="W14" s="256">
        <f t="shared" si="0"/>
        <v>0</v>
      </c>
      <c r="X14" s="256">
        <f>X15+X19+X54+X128+X107+X118</f>
        <v>19725607.789999999</v>
      </c>
      <c r="Y14" s="379"/>
      <c r="Z14" s="288"/>
      <c r="AA14" s="316"/>
      <c r="AB14" s="385"/>
      <c r="AC14" s="316"/>
    </row>
    <row r="15" spans="1:32" ht="27" customHeight="1" x14ac:dyDescent="0.2">
      <c r="A15" s="16" t="s">
        <v>20</v>
      </c>
      <c r="B15" s="17">
        <v>804</v>
      </c>
      <c r="C15" s="18" t="s">
        <v>21</v>
      </c>
      <c r="D15" s="18" t="s">
        <v>22</v>
      </c>
      <c r="E15" s="19" t="s">
        <v>23</v>
      </c>
      <c r="F15" s="18" t="s">
        <v>19</v>
      </c>
      <c r="G15" s="18"/>
      <c r="H15" s="20">
        <f t="shared" ref="H15:X15" si="1">H16</f>
        <v>1651113.08</v>
      </c>
      <c r="I15" s="20">
        <f t="shared" si="1"/>
        <v>0</v>
      </c>
      <c r="J15" s="20">
        <f t="shared" si="1"/>
        <v>0</v>
      </c>
      <c r="K15" s="21">
        <f t="shared" si="1"/>
        <v>0</v>
      </c>
      <c r="L15" s="21">
        <f t="shared" si="1"/>
        <v>0</v>
      </c>
      <c r="M15" s="21">
        <f t="shared" si="1"/>
        <v>0</v>
      </c>
      <c r="N15" s="22">
        <f t="shared" si="1"/>
        <v>1651113.08</v>
      </c>
      <c r="O15" s="20">
        <f t="shared" si="1"/>
        <v>1651113.08</v>
      </c>
      <c r="P15" s="257">
        <f t="shared" si="1"/>
        <v>1731537.95</v>
      </c>
      <c r="Q15" s="257">
        <f t="shared" si="1"/>
        <v>0</v>
      </c>
      <c r="R15" s="257">
        <f t="shared" si="1"/>
        <v>0</v>
      </c>
      <c r="S15" s="257">
        <f t="shared" si="1"/>
        <v>0</v>
      </c>
      <c r="T15" s="257">
        <f t="shared" si="1"/>
        <v>0</v>
      </c>
      <c r="U15" s="257">
        <f t="shared" si="1"/>
        <v>0</v>
      </c>
      <c r="V15" s="257">
        <f t="shared" si="1"/>
        <v>0</v>
      </c>
      <c r="W15" s="257">
        <f t="shared" si="1"/>
        <v>0</v>
      </c>
      <c r="X15" s="257">
        <f t="shared" si="1"/>
        <v>1731537.95</v>
      </c>
      <c r="Y15" s="382"/>
      <c r="Z15" s="288"/>
      <c r="AA15" s="316"/>
      <c r="AB15" s="385"/>
      <c r="AC15" s="316"/>
    </row>
    <row r="16" spans="1:32" ht="24" customHeight="1" x14ac:dyDescent="0.2">
      <c r="A16" s="23" t="s">
        <v>24</v>
      </c>
      <c r="B16" s="24">
        <v>804</v>
      </c>
      <c r="C16" s="25" t="s">
        <v>21</v>
      </c>
      <c r="D16" s="25" t="s">
        <v>22</v>
      </c>
      <c r="E16" s="26" t="s">
        <v>23</v>
      </c>
      <c r="F16" s="25" t="s">
        <v>25</v>
      </c>
      <c r="G16" s="25"/>
      <c r="H16" s="27">
        <f t="shared" ref="H16:N16" si="2">H17+H18</f>
        <v>1651113.08</v>
      </c>
      <c r="I16" s="27">
        <f t="shared" si="2"/>
        <v>0</v>
      </c>
      <c r="J16" s="27">
        <f t="shared" si="2"/>
        <v>0</v>
      </c>
      <c r="K16" s="28">
        <f t="shared" si="2"/>
        <v>0</v>
      </c>
      <c r="L16" s="28">
        <f t="shared" si="2"/>
        <v>0</v>
      </c>
      <c r="M16" s="28">
        <f t="shared" si="2"/>
        <v>0</v>
      </c>
      <c r="N16" s="29">
        <f t="shared" si="2"/>
        <v>1651113.08</v>
      </c>
      <c r="O16" s="27">
        <f t="shared" ref="O16" si="3">O17+O18</f>
        <v>1651113.08</v>
      </c>
      <c r="P16" s="258">
        <f>P17+P18</f>
        <v>1731537.95</v>
      </c>
      <c r="Q16" s="258">
        <f t="shared" ref="Q16:X16" si="4">Q17+Q18</f>
        <v>0</v>
      </c>
      <c r="R16" s="258">
        <f t="shared" si="4"/>
        <v>0</v>
      </c>
      <c r="S16" s="258">
        <f t="shared" si="4"/>
        <v>0</v>
      </c>
      <c r="T16" s="258">
        <f t="shared" si="4"/>
        <v>0</v>
      </c>
      <c r="U16" s="258">
        <f t="shared" si="4"/>
        <v>0</v>
      </c>
      <c r="V16" s="258">
        <f t="shared" si="4"/>
        <v>0</v>
      </c>
      <c r="W16" s="258">
        <f t="shared" si="4"/>
        <v>0</v>
      </c>
      <c r="X16" s="258">
        <f t="shared" si="4"/>
        <v>1731537.95</v>
      </c>
      <c r="Y16" s="301"/>
      <c r="Z16" s="288"/>
      <c r="AA16" s="316"/>
      <c r="AB16" s="386"/>
      <c r="AC16" s="316"/>
    </row>
    <row r="17" spans="1:29" ht="12.75" customHeight="1" x14ac:dyDescent="0.2">
      <c r="A17" s="6" t="s">
        <v>26</v>
      </c>
      <c r="B17" s="7">
        <v>804</v>
      </c>
      <c r="C17" s="8" t="s">
        <v>21</v>
      </c>
      <c r="D17" s="30" t="s">
        <v>22</v>
      </c>
      <c r="E17" s="9" t="s">
        <v>23</v>
      </c>
      <c r="F17" s="8" t="s">
        <v>27</v>
      </c>
      <c r="G17" s="8"/>
      <c r="H17" s="31">
        <f>1088528.83+179607.17</f>
        <v>1268136</v>
      </c>
      <c r="I17" s="31">
        <f>SUM(J17:M17)</f>
        <v>0</v>
      </c>
      <c r="J17" s="31"/>
      <c r="K17" s="32"/>
      <c r="L17" s="32"/>
      <c r="M17" s="32"/>
      <c r="N17" s="33">
        <f>H17+I17</f>
        <v>1268136</v>
      </c>
      <c r="O17" s="31">
        <f>1088528.83+179607.17</f>
        <v>1268136</v>
      </c>
      <c r="P17" s="260">
        <v>1329968.8899999999</v>
      </c>
      <c r="Q17" s="165">
        <f>R17+S17+T17+U17+V17</f>
        <v>0</v>
      </c>
      <c r="R17" s="165">
        <v>0</v>
      </c>
      <c r="S17" s="165"/>
      <c r="T17" s="165"/>
      <c r="U17" s="165">
        <v>0</v>
      </c>
      <c r="V17" s="165"/>
      <c r="W17" s="165"/>
      <c r="X17" s="165">
        <f>P17+Q17</f>
        <v>1329968.8899999999</v>
      </c>
      <c r="Y17" s="54"/>
      <c r="Z17" s="375"/>
      <c r="AA17" s="316"/>
      <c r="AB17" s="329"/>
      <c r="AC17" s="316"/>
    </row>
    <row r="18" spans="1:29" ht="12.75" customHeight="1" x14ac:dyDescent="0.2">
      <c r="A18" s="6" t="s">
        <v>28</v>
      </c>
      <c r="B18" s="7">
        <v>804</v>
      </c>
      <c r="C18" s="8" t="s">
        <v>21</v>
      </c>
      <c r="D18" s="30" t="s">
        <v>22</v>
      </c>
      <c r="E18" s="9" t="s">
        <v>29</v>
      </c>
      <c r="F18" s="8" t="s">
        <v>30</v>
      </c>
      <c r="G18" s="8"/>
      <c r="H18" s="31">
        <f>328735.71+54241.37</f>
        <v>382977.08</v>
      </c>
      <c r="I18" s="31">
        <f>SUM(J18:M18)</f>
        <v>0</v>
      </c>
      <c r="J18" s="31"/>
      <c r="K18" s="32"/>
      <c r="L18" s="32"/>
      <c r="M18" s="32"/>
      <c r="N18" s="33">
        <f>H18+I18</f>
        <v>382977.08</v>
      </c>
      <c r="O18" s="31">
        <f>328735.71+54241.37</f>
        <v>382977.08</v>
      </c>
      <c r="P18" s="260">
        <v>401569.06</v>
      </c>
      <c r="Q18" s="165">
        <f>R18+S18+T18+U18+V18</f>
        <v>0</v>
      </c>
      <c r="R18" s="165">
        <v>0</v>
      </c>
      <c r="S18" s="165"/>
      <c r="T18" s="165"/>
      <c r="U18" s="165">
        <v>0</v>
      </c>
      <c r="V18" s="165"/>
      <c r="W18" s="165"/>
      <c r="X18" s="165">
        <f>P18+Q18</f>
        <v>401569.06</v>
      </c>
      <c r="Y18" s="54"/>
      <c r="Z18" s="288"/>
      <c r="AA18" s="316"/>
      <c r="AB18" s="329"/>
      <c r="AC18" s="316"/>
    </row>
    <row r="19" spans="1:29" ht="52.5" customHeight="1" x14ac:dyDescent="0.2">
      <c r="A19" s="34" t="s">
        <v>31</v>
      </c>
      <c r="B19" s="35"/>
      <c r="C19" s="18" t="s">
        <v>32</v>
      </c>
      <c r="D19" s="18" t="s">
        <v>18</v>
      </c>
      <c r="E19" s="19" t="s">
        <v>19</v>
      </c>
      <c r="F19" s="18"/>
      <c r="G19" s="18"/>
      <c r="H19" s="20">
        <f t="shared" ref="H19:O20" si="5">H20</f>
        <v>534941.42999999993</v>
      </c>
      <c r="I19" s="20">
        <f t="shared" si="5"/>
        <v>2497.65</v>
      </c>
      <c r="J19" s="20">
        <f t="shared" si="5"/>
        <v>2497.65</v>
      </c>
      <c r="K19" s="21">
        <f t="shared" si="5"/>
        <v>0</v>
      </c>
      <c r="L19" s="21">
        <f t="shared" si="5"/>
        <v>0</v>
      </c>
      <c r="M19" s="21">
        <f t="shared" si="5"/>
        <v>0</v>
      </c>
      <c r="N19" s="21">
        <f>N20</f>
        <v>537439.08000000007</v>
      </c>
      <c r="O19" s="20">
        <f t="shared" si="5"/>
        <v>523141.43</v>
      </c>
      <c r="P19" s="257">
        <f>P33+P46</f>
        <v>12000</v>
      </c>
      <c r="Q19" s="257">
        <f>Q33+Q46</f>
        <v>25000</v>
      </c>
      <c r="R19" s="257">
        <f>R33+R46</f>
        <v>0</v>
      </c>
      <c r="S19" s="257">
        <f t="shared" ref="S19:W19" si="6">S20</f>
        <v>0</v>
      </c>
      <c r="T19" s="257">
        <f>T33+T46</f>
        <v>0</v>
      </c>
      <c r="U19" s="257">
        <f>U33+U46</f>
        <v>25000</v>
      </c>
      <c r="V19" s="257">
        <f>V33+V46</f>
        <v>0</v>
      </c>
      <c r="W19" s="257">
        <f t="shared" si="6"/>
        <v>0</v>
      </c>
      <c r="X19" s="257">
        <f>X33+X46</f>
        <v>37000</v>
      </c>
      <c r="Y19" s="382"/>
      <c r="Z19" s="288"/>
      <c r="AA19" s="288"/>
      <c r="AB19" s="385"/>
      <c r="AC19" s="316"/>
    </row>
    <row r="20" spans="1:29" ht="27" hidden="1" customHeight="1" x14ac:dyDescent="0.2">
      <c r="A20" s="23" t="s">
        <v>33</v>
      </c>
      <c r="B20" s="24">
        <v>804</v>
      </c>
      <c r="C20" s="25" t="s">
        <v>32</v>
      </c>
      <c r="D20" s="25" t="s">
        <v>34</v>
      </c>
      <c r="E20" s="26" t="s">
        <v>19</v>
      </c>
      <c r="F20" s="25" t="s">
        <v>19</v>
      </c>
      <c r="G20" s="25"/>
      <c r="H20" s="27">
        <f>H21</f>
        <v>534941.42999999993</v>
      </c>
      <c r="I20" s="27">
        <f t="shared" si="5"/>
        <v>2497.65</v>
      </c>
      <c r="J20" s="27">
        <f t="shared" si="5"/>
        <v>2497.65</v>
      </c>
      <c r="K20" s="28">
        <f t="shared" si="5"/>
        <v>0</v>
      </c>
      <c r="L20" s="28">
        <f t="shared" si="5"/>
        <v>0</v>
      </c>
      <c r="M20" s="28">
        <f t="shared" si="5"/>
        <v>0</v>
      </c>
      <c r="N20" s="28">
        <f t="shared" si="5"/>
        <v>537439.08000000007</v>
      </c>
      <c r="O20" s="27">
        <f>O21</f>
        <v>523141.43</v>
      </c>
      <c r="P20" s="258">
        <f>P21</f>
        <v>12000</v>
      </c>
      <c r="Q20" s="258">
        <f t="shared" ref="Q20:S20" si="7">Q21</f>
        <v>0</v>
      </c>
      <c r="R20" s="258">
        <f>R21</f>
        <v>0</v>
      </c>
      <c r="S20" s="258">
        <f t="shared" si="7"/>
        <v>0</v>
      </c>
      <c r="T20" s="258">
        <f>T21</f>
        <v>0</v>
      </c>
      <c r="U20" s="258">
        <f t="shared" ref="U20:V20" si="8">U21</f>
        <v>0</v>
      </c>
      <c r="V20" s="258">
        <f t="shared" si="8"/>
        <v>0</v>
      </c>
      <c r="W20" s="258"/>
      <c r="X20" s="258">
        <f>X21</f>
        <v>12000</v>
      </c>
      <c r="Y20" s="301"/>
      <c r="Z20" s="288"/>
      <c r="AA20" s="288"/>
      <c r="AB20" s="385"/>
      <c r="AC20" s="316"/>
    </row>
    <row r="21" spans="1:29" hidden="1" x14ac:dyDescent="0.2">
      <c r="A21" s="23" t="s">
        <v>35</v>
      </c>
      <c r="B21" s="24">
        <v>804</v>
      </c>
      <c r="C21" s="25" t="s">
        <v>32</v>
      </c>
      <c r="D21" s="36" t="s">
        <v>34</v>
      </c>
      <c r="E21" s="26" t="s">
        <v>23</v>
      </c>
      <c r="F21" s="25" t="s">
        <v>19</v>
      </c>
      <c r="G21" s="25"/>
      <c r="H21" s="27">
        <f t="shared" ref="H21:O21" si="9">H22+H28+H42+H46</f>
        <v>534941.42999999993</v>
      </c>
      <c r="I21" s="27">
        <f t="shared" si="9"/>
        <v>2497.65</v>
      </c>
      <c r="J21" s="27">
        <f t="shared" si="9"/>
        <v>2497.65</v>
      </c>
      <c r="K21" s="28">
        <f t="shared" si="9"/>
        <v>0</v>
      </c>
      <c r="L21" s="28">
        <f t="shared" si="9"/>
        <v>0</v>
      </c>
      <c r="M21" s="28">
        <f t="shared" si="9"/>
        <v>0</v>
      </c>
      <c r="N21" s="28">
        <f t="shared" si="9"/>
        <v>537439.08000000007</v>
      </c>
      <c r="O21" s="27">
        <f t="shared" si="9"/>
        <v>523141.43</v>
      </c>
      <c r="P21" s="258">
        <f>P22+P28+P42+P46</f>
        <v>12000</v>
      </c>
      <c r="Q21" s="258">
        <f>Q22+Q28+Q42+Q46</f>
        <v>0</v>
      </c>
      <c r="R21" s="258">
        <f>R22+R28+R42+R46</f>
        <v>0</v>
      </c>
      <c r="S21" s="258">
        <f t="shared" ref="S21" si="10">S22+S28+S42+S46</f>
        <v>0</v>
      </c>
      <c r="T21" s="258">
        <f>T22+T28+T42+T46</f>
        <v>0</v>
      </c>
      <c r="U21" s="258">
        <f t="shared" ref="U21:V21" si="11">U22+U28+U42+U46</f>
        <v>0</v>
      </c>
      <c r="V21" s="258">
        <f t="shared" si="11"/>
        <v>0</v>
      </c>
      <c r="W21" s="258"/>
      <c r="X21" s="258">
        <f>X22+X28+X46</f>
        <v>12000</v>
      </c>
      <c r="Y21" s="301"/>
      <c r="Z21" s="288"/>
      <c r="AA21" s="316"/>
      <c r="AB21" s="385"/>
      <c r="AC21" s="316"/>
    </row>
    <row r="22" spans="1:29" ht="24.75" hidden="1" customHeight="1" x14ac:dyDescent="0.2">
      <c r="A22" s="23" t="s">
        <v>24</v>
      </c>
      <c r="B22" s="24">
        <v>804</v>
      </c>
      <c r="C22" s="25" t="s">
        <v>32</v>
      </c>
      <c r="D22" s="36" t="s">
        <v>34</v>
      </c>
      <c r="E22" s="26" t="s">
        <v>23</v>
      </c>
      <c r="F22" s="25" t="s">
        <v>25</v>
      </c>
      <c r="G22" s="25"/>
      <c r="H22" s="27">
        <f>H23+H24+H27</f>
        <v>475641.43</v>
      </c>
      <c r="I22" s="27">
        <f t="shared" ref="I22:N22" si="12">I23+I27</f>
        <v>0</v>
      </c>
      <c r="J22" s="27">
        <f t="shared" si="12"/>
        <v>0</v>
      </c>
      <c r="K22" s="28">
        <f t="shared" si="12"/>
        <v>0</v>
      </c>
      <c r="L22" s="28">
        <f t="shared" si="12"/>
        <v>0</v>
      </c>
      <c r="M22" s="28">
        <f t="shared" si="12"/>
        <v>0</v>
      </c>
      <c r="N22" s="28">
        <f t="shared" si="12"/>
        <v>475641.43</v>
      </c>
      <c r="O22" s="27">
        <f>O23+O24+O27</f>
        <v>475641.43</v>
      </c>
      <c r="P22" s="258">
        <f t="shared" ref="P22:X22" si="13">P23+P24</f>
        <v>0</v>
      </c>
      <c r="Q22" s="258">
        <f t="shared" si="13"/>
        <v>0</v>
      </c>
      <c r="R22" s="258">
        <f t="shared" si="13"/>
        <v>0</v>
      </c>
      <c r="S22" s="258">
        <f t="shared" si="13"/>
        <v>0</v>
      </c>
      <c r="T22" s="258">
        <f t="shared" si="13"/>
        <v>0</v>
      </c>
      <c r="U22" s="258">
        <f t="shared" si="13"/>
        <v>0</v>
      </c>
      <c r="V22" s="258"/>
      <c r="W22" s="258"/>
      <c r="X22" s="258">
        <f t="shared" si="13"/>
        <v>0</v>
      </c>
      <c r="Y22" s="301"/>
      <c r="Z22" s="288"/>
      <c r="AA22" s="316"/>
      <c r="AB22" s="385"/>
      <c r="AC22" s="316"/>
    </row>
    <row r="23" spans="1:29" hidden="1" x14ac:dyDescent="0.2">
      <c r="A23" s="6" t="s">
        <v>26</v>
      </c>
      <c r="B23" s="7">
        <v>804</v>
      </c>
      <c r="C23" s="8" t="s">
        <v>32</v>
      </c>
      <c r="D23" s="30" t="s">
        <v>34</v>
      </c>
      <c r="E23" s="9" t="s">
        <v>23</v>
      </c>
      <c r="F23" s="8" t="s">
        <v>27</v>
      </c>
      <c r="G23" s="8"/>
      <c r="H23" s="31">
        <f>412860.35-47544.35</f>
        <v>365316</v>
      </c>
      <c r="I23" s="31">
        <f>SUM(J23:M23)</f>
        <v>0</v>
      </c>
      <c r="J23" s="31"/>
      <c r="K23" s="32"/>
      <c r="L23" s="32"/>
      <c r="M23" s="32"/>
      <c r="N23" s="33">
        <f>H23+I23</f>
        <v>365316</v>
      </c>
      <c r="O23" s="31">
        <f>412860.35-47544.35</f>
        <v>365316</v>
      </c>
      <c r="P23" s="260">
        <v>0</v>
      </c>
      <c r="Q23" s="165">
        <f>R23+S23+T23+U23</f>
        <v>0</v>
      </c>
      <c r="R23" s="165"/>
      <c r="S23" s="165"/>
      <c r="T23" s="165"/>
      <c r="U23" s="165"/>
      <c r="V23" s="165"/>
      <c r="W23" s="165"/>
      <c r="X23" s="165">
        <f>Q23+P23</f>
        <v>0</v>
      </c>
      <c r="Y23" s="301"/>
      <c r="Z23" s="288"/>
      <c r="AA23" s="316"/>
      <c r="AB23" s="329"/>
      <c r="AC23" s="316"/>
    </row>
    <row r="24" spans="1:29" ht="12.75" hidden="1" customHeight="1" x14ac:dyDescent="0.2">
      <c r="A24" s="6" t="s">
        <v>36</v>
      </c>
      <c r="B24" s="7">
        <v>804</v>
      </c>
      <c r="C24" s="8" t="s">
        <v>32</v>
      </c>
      <c r="D24" s="30" t="s">
        <v>34</v>
      </c>
      <c r="E24" s="9" t="s">
        <v>29</v>
      </c>
      <c r="F24" s="8" t="s">
        <v>30</v>
      </c>
      <c r="G24" s="8"/>
      <c r="H24" s="31">
        <f t="shared" ref="H24:N24" si="14">H25+H26</f>
        <v>0</v>
      </c>
      <c r="I24" s="31">
        <f t="shared" si="14"/>
        <v>0</v>
      </c>
      <c r="J24" s="31">
        <f>J25+J26</f>
        <v>0</v>
      </c>
      <c r="K24" s="32">
        <f t="shared" si="14"/>
        <v>0</v>
      </c>
      <c r="L24" s="32">
        <f t="shared" si="14"/>
        <v>0</v>
      </c>
      <c r="M24" s="32">
        <f t="shared" si="14"/>
        <v>0</v>
      </c>
      <c r="N24" s="33">
        <f t="shared" si="14"/>
        <v>0</v>
      </c>
      <c r="O24" s="31">
        <f>O25+O26</f>
        <v>0</v>
      </c>
      <c r="P24" s="260">
        <v>0</v>
      </c>
      <c r="Q24" s="165">
        <f>R24+S24+T24+U24</f>
        <v>0</v>
      </c>
      <c r="R24" s="165"/>
      <c r="S24" s="165"/>
      <c r="T24" s="165"/>
      <c r="U24" s="165"/>
      <c r="V24" s="165"/>
      <c r="W24" s="165"/>
      <c r="X24" s="165">
        <f>Q24+P24</f>
        <v>0</v>
      </c>
      <c r="Y24" s="301"/>
      <c r="Z24" s="288"/>
      <c r="AA24" s="316"/>
      <c r="AB24" s="329"/>
      <c r="AC24" s="316"/>
    </row>
    <row r="25" spans="1:29" hidden="1" x14ac:dyDescent="0.2">
      <c r="A25" s="38" t="s">
        <v>37</v>
      </c>
      <c r="B25" s="39"/>
      <c r="C25" s="8"/>
      <c r="D25" s="8"/>
      <c r="E25" s="9"/>
      <c r="F25" s="8"/>
      <c r="G25" s="8" t="s">
        <v>38</v>
      </c>
      <c r="H25" s="31">
        <v>0</v>
      </c>
      <c r="I25" s="31">
        <f>SUM(J25:M25)</f>
        <v>0</v>
      </c>
      <c r="J25" s="31">
        <v>0</v>
      </c>
      <c r="K25" s="32">
        <v>0</v>
      </c>
      <c r="L25" s="32">
        <v>0</v>
      </c>
      <c r="M25" s="32">
        <v>0</v>
      </c>
      <c r="N25" s="33">
        <f>H25+I25</f>
        <v>0</v>
      </c>
      <c r="O25" s="31">
        <v>0</v>
      </c>
      <c r="P25" s="260">
        <v>0</v>
      </c>
      <c r="Q25" s="165"/>
      <c r="R25" s="165"/>
      <c r="S25" s="165"/>
      <c r="T25" s="165"/>
      <c r="U25" s="165"/>
      <c r="V25" s="165"/>
      <c r="W25" s="165"/>
      <c r="X25" s="165"/>
      <c r="Y25" s="301"/>
      <c r="Z25" s="288"/>
      <c r="AA25" s="316"/>
      <c r="AB25" s="329"/>
      <c r="AC25" s="316"/>
    </row>
    <row r="26" spans="1:29" hidden="1" x14ac:dyDescent="0.2">
      <c r="A26" s="40" t="s">
        <v>39</v>
      </c>
      <c r="B26" s="41"/>
      <c r="C26" s="8"/>
      <c r="D26" s="8"/>
      <c r="E26" s="9"/>
      <c r="F26" s="8"/>
      <c r="G26" s="8" t="s">
        <v>40</v>
      </c>
      <c r="H26" s="31">
        <v>0</v>
      </c>
      <c r="I26" s="31">
        <f>SUM(J26:M26)</f>
        <v>0</v>
      </c>
      <c r="J26" s="31">
        <v>0</v>
      </c>
      <c r="K26" s="32">
        <v>0</v>
      </c>
      <c r="L26" s="32">
        <v>0</v>
      </c>
      <c r="M26" s="32">
        <v>0</v>
      </c>
      <c r="N26" s="33">
        <f>H26+I26</f>
        <v>0</v>
      </c>
      <c r="O26" s="31">
        <v>0</v>
      </c>
      <c r="P26" s="260">
        <v>0</v>
      </c>
      <c r="Q26" s="165"/>
      <c r="R26" s="165"/>
      <c r="S26" s="165"/>
      <c r="T26" s="165"/>
      <c r="U26" s="165"/>
      <c r="V26" s="165"/>
      <c r="W26" s="165"/>
      <c r="X26" s="165"/>
      <c r="Y26" s="301"/>
      <c r="Z26" s="288"/>
      <c r="AA26" s="316"/>
      <c r="AB26" s="329"/>
      <c r="AC26" s="316"/>
    </row>
    <row r="27" spans="1:29" ht="12.75" hidden="1" customHeight="1" x14ac:dyDescent="0.2">
      <c r="A27" s="6" t="s">
        <v>28</v>
      </c>
      <c r="B27" s="7">
        <v>804</v>
      </c>
      <c r="C27" s="8" t="s">
        <v>32</v>
      </c>
      <c r="D27" s="30" t="s">
        <v>34</v>
      </c>
      <c r="E27" s="9" t="s">
        <v>23</v>
      </c>
      <c r="F27" s="8" t="s">
        <v>30</v>
      </c>
      <c r="G27" s="8"/>
      <c r="H27" s="31">
        <v>110325.43</v>
      </c>
      <c r="I27" s="31">
        <f>SUM(J27:M27)</f>
        <v>0</v>
      </c>
      <c r="J27" s="31">
        <v>0</v>
      </c>
      <c r="K27" s="32">
        <v>0</v>
      </c>
      <c r="L27" s="32">
        <v>0</v>
      </c>
      <c r="M27" s="32">
        <v>0</v>
      </c>
      <c r="N27" s="33">
        <f>H27+I27</f>
        <v>110325.43</v>
      </c>
      <c r="O27" s="31">
        <v>110325.43</v>
      </c>
      <c r="P27" s="260">
        <v>0</v>
      </c>
      <c r="Q27" s="165"/>
      <c r="R27" s="165"/>
      <c r="S27" s="165"/>
      <c r="T27" s="165"/>
      <c r="U27" s="165"/>
      <c r="V27" s="165"/>
      <c r="W27" s="165"/>
      <c r="X27" s="165"/>
      <c r="Y27" s="301"/>
      <c r="Z27" s="288"/>
      <c r="AA27" s="316"/>
      <c r="AB27" s="329"/>
      <c r="AC27" s="316"/>
    </row>
    <row r="28" spans="1:29" ht="12.75" hidden="1" customHeight="1" x14ac:dyDescent="0.2">
      <c r="A28" s="23" t="s">
        <v>41</v>
      </c>
      <c r="B28" s="24">
        <v>804</v>
      </c>
      <c r="C28" s="25" t="s">
        <v>32</v>
      </c>
      <c r="D28" s="36" t="s">
        <v>34</v>
      </c>
      <c r="E28" s="26" t="s">
        <v>23</v>
      </c>
      <c r="F28" s="25" t="s">
        <v>42</v>
      </c>
      <c r="G28" s="25"/>
      <c r="H28" s="27">
        <f t="shared" ref="H28:O28" si="15">H29+H31+H34+H38+H30</f>
        <v>24300</v>
      </c>
      <c r="I28" s="27">
        <f t="shared" si="15"/>
        <v>997.65</v>
      </c>
      <c r="J28" s="27">
        <f t="shared" si="15"/>
        <v>997.65</v>
      </c>
      <c r="K28" s="28">
        <f t="shared" si="15"/>
        <v>0</v>
      </c>
      <c r="L28" s="28">
        <f t="shared" si="15"/>
        <v>0</v>
      </c>
      <c r="M28" s="28">
        <f t="shared" si="15"/>
        <v>0</v>
      </c>
      <c r="N28" s="28">
        <f t="shared" si="15"/>
        <v>25297.65</v>
      </c>
      <c r="O28" s="27">
        <f t="shared" si="15"/>
        <v>19500</v>
      </c>
      <c r="P28" s="258">
        <f>P29+P31+P34+P38+P30+P45</f>
        <v>0</v>
      </c>
      <c r="Q28" s="258">
        <f t="shared" ref="Q28:X28" si="16">Q29+Q31+Q34+Q38+Q30+Q45</f>
        <v>0</v>
      </c>
      <c r="R28" s="258">
        <f t="shared" si="16"/>
        <v>0</v>
      </c>
      <c r="S28" s="258">
        <f t="shared" si="16"/>
        <v>0</v>
      </c>
      <c r="T28" s="258">
        <f t="shared" si="16"/>
        <v>0</v>
      </c>
      <c r="U28" s="258">
        <f t="shared" si="16"/>
        <v>0</v>
      </c>
      <c r="V28" s="258"/>
      <c r="W28" s="258"/>
      <c r="X28" s="258">
        <f t="shared" si="16"/>
        <v>0</v>
      </c>
      <c r="Y28" s="301"/>
      <c r="Z28" s="288"/>
      <c r="AA28" s="316"/>
      <c r="AB28" s="385"/>
      <c r="AC28" s="316"/>
    </row>
    <row r="29" spans="1:29" hidden="1" x14ac:dyDescent="0.2">
      <c r="A29" s="6" t="s">
        <v>43</v>
      </c>
      <c r="B29" s="7">
        <v>804</v>
      </c>
      <c r="C29" s="8" t="s">
        <v>32</v>
      </c>
      <c r="D29" s="30" t="s">
        <v>34</v>
      </c>
      <c r="E29" s="9" t="s">
        <v>44</v>
      </c>
      <c r="F29" s="8" t="s">
        <v>45</v>
      </c>
      <c r="G29" s="8"/>
      <c r="H29" s="31">
        <v>24000</v>
      </c>
      <c r="I29" s="31">
        <f>SUM(J29:M29)</f>
        <v>0</v>
      </c>
      <c r="J29" s="31"/>
      <c r="K29" s="32"/>
      <c r="L29" s="32"/>
      <c r="M29" s="32"/>
      <c r="N29" s="33">
        <f>H29+I29</f>
        <v>24000</v>
      </c>
      <c r="O29" s="31">
        <f>24000*80%</f>
        <v>19200</v>
      </c>
      <c r="P29" s="260">
        <v>0</v>
      </c>
      <c r="Q29" s="165">
        <f t="shared" ref="Q29:Q45" si="17">R29+S29+T29+U29</f>
        <v>0</v>
      </c>
      <c r="R29" s="165">
        <v>0</v>
      </c>
      <c r="S29" s="165"/>
      <c r="T29" s="165"/>
      <c r="U29" s="165">
        <v>0</v>
      </c>
      <c r="V29" s="165"/>
      <c r="W29" s="165"/>
      <c r="X29" s="165">
        <f t="shared" ref="X29:X45" si="18">P29+Q29</f>
        <v>0</v>
      </c>
      <c r="Y29" s="301"/>
      <c r="Z29" s="288"/>
      <c r="AA29" s="316"/>
      <c r="AB29" s="329"/>
      <c r="AC29" s="316"/>
    </row>
    <row r="30" spans="1:29" hidden="1" x14ac:dyDescent="0.2">
      <c r="A30" s="6" t="s">
        <v>43</v>
      </c>
      <c r="B30" s="7">
        <v>804</v>
      </c>
      <c r="C30" s="8" t="s">
        <v>32</v>
      </c>
      <c r="D30" s="30" t="s">
        <v>34</v>
      </c>
      <c r="E30" s="9" t="s">
        <v>46</v>
      </c>
      <c r="F30" s="8" t="s">
        <v>45</v>
      </c>
      <c r="G30" s="8"/>
      <c r="H30" s="31">
        <v>300</v>
      </c>
      <c r="I30" s="31">
        <f t="shared" ref="I30:I44" si="19">SUM(J30:M30)</f>
        <v>0</v>
      </c>
      <c r="J30" s="31"/>
      <c r="K30" s="32"/>
      <c r="L30" s="32"/>
      <c r="M30" s="32"/>
      <c r="N30" s="33">
        <f>H30+I30</f>
        <v>300</v>
      </c>
      <c r="O30" s="31">
        <v>300</v>
      </c>
      <c r="P30" s="260">
        <v>0</v>
      </c>
      <c r="Q30" s="165">
        <f t="shared" si="17"/>
        <v>0</v>
      </c>
      <c r="R30" s="165"/>
      <c r="S30" s="165"/>
      <c r="T30" s="165"/>
      <c r="U30" s="165">
        <v>0</v>
      </c>
      <c r="V30" s="165"/>
      <c r="W30" s="165"/>
      <c r="X30" s="165">
        <f t="shared" si="18"/>
        <v>0</v>
      </c>
      <c r="Y30" s="301"/>
      <c r="Z30" s="288"/>
      <c r="AA30" s="316"/>
      <c r="AB30" s="329"/>
      <c r="AC30" s="316"/>
    </row>
    <row r="31" spans="1:29" ht="12.75" hidden="1" customHeight="1" x14ac:dyDescent="0.2">
      <c r="A31" s="6" t="s">
        <v>47</v>
      </c>
      <c r="B31" s="7">
        <v>804</v>
      </c>
      <c r="C31" s="8" t="s">
        <v>32</v>
      </c>
      <c r="D31" s="30" t="s">
        <v>34</v>
      </c>
      <c r="E31" s="9" t="s">
        <v>46</v>
      </c>
      <c r="F31" s="8" t="s">
        <v>48</v>
      </c>
      <c r="G31" s="8"/>
      <c r="H31" s="31">
        <f>H32+H33</f>
        <v>0</v>
      </c>
      <c r="I31" s="31">
        <f t="shared" ref="I31:N31" si="20">I32+I33</f>
        <v>0</v>
      </c>
      <c r="J31" s="31">
        <f t="shared" si="20"/>
        <v>0</v>
      </c>
      <c r="K31" s="32">
        <f t="shared" si="20"/>
        <v>0</v>
      </c>
      <c r="L31" s="32">
        <f t="shared" si="20"/>
        <v>0</v>
      </c>
      <c r="M31" s="32">
        <f t="shared" si="20"/>
        <v>0</v>
      </c>
      <c r="N31" s="33">
        <f t="shared" si="20"/>
        <v>0</v>
      </c>
      <c r="O31" s="31">
        <f>O32+O33</f>
        <v>0</v>
      </c>
      <c r="P31" s="260">
        <f>P32+P33</f>
        <v>0</v>
      </c>
      <c r="Q31" s="165">
        <f t="shared" si="17"/>
        <v>0</v>
      </c>
      <c r="R31" s="165"/>
      <c r="S31" s="165"/>
      <c r="T31" s="165"/>
      <c r="U31" s="165"/>
      <c r="V31" s="165"/>
      <c r="W31" s="165"/>
      <c r="X31" s="165">
        <f t="shared" si="18"/>
        <v>0</v>
      </c>
      <c r="Y31" s="301"/>
      <c r="Z31" s="288"/>
      <c r="AA31" s="316"/>
      <c r="AB31" s="329"/>
      <c r="AC31" s="316"/>
    </row>
    <row r="32" spans="1:29" hidden="1" x14ac:dyDescent="0.2">
      <c r="A32" s="38" t="s">
        <v>37</v>
      </c>
      <c r="B32" s="39"/>
      <c r="C32" s="8"/>
      <c r="D32" s="8"/>
      <c r="E32" s="9"/>
      <c r="F32" s="8"/>
      <c r="G32" s="8" t="s">
        <v>38</v>
      </c>
      <c r="H32" s="31">
        <v>0</v>
      </c>
      <c r="I32" s="31">
        <f t="shared" si="19"/>
        <v>0</v>
      </c>
      <c r="J32" s="31">
        <v>0</v>
      </c>
      <c r="K32" s="32">
        <v>0</v>
      </c>
      <c r="L32" s="32">
        <v>0</v>
      </c>
      <c r="M32" s="32">
        <v>0</v>
      </c>
      <c r="N32" s="33">
        <f>H32+I32</f>
        <v>0</v>
      </c>
      <c r="O32" s="31">
        <v>0</v>
      </c>
      <c r="P32" s="260">
        <v>0</v>
      </c>
      <c r="Q32" s="165">
        <f t="shared" si="17"/>
        <v>0</v>
      </c>
      <c r="R32" s="165"/>
      <c r="S32" s="165"/>
      <c r="T32" s="165"/>
      <c r="U32" s="165"/>
      <c r="V32" s="165"/>
      <c r="W32" s="165"/>
      <c r="X32" s="165">
        <f t="shared" si="18"/>
        <v>0</v>
      </c>
      <c r="Y32" s="301"/>
      <c r="Z32" s="288"/>
      <c r="AA32" s="316"/>
      <c r="AB32" s="329"/>
      <c r="AC32" s="316"/>
    </row>
    <row r="33" spans="1:29" ht="24" customHeight="1" x14ac:dyDescent="0.2">
      <c r="A33" s="6" t="s">
        <v>47</v>
      </c>
      <c r="B33" s="7"/>
      <c r="C33" s="8" t="s">
        <v>32</v>
      </c>
      <c r="D33" s="505" t="s">
        <v>34</v>
      </c>
      <c r="E33" s="506" t="s">
        <v>46</v>
      </c>
      <c r="F33" s="119" t="s">
        <v>48</v>
      </c>
      <c r="G33" s="507" t="s">
        <v>49</v>
      </c>
      <c r="H33" s="31">
        <v>0</v>
      </c>
      <c r="I33" s="31">
        <f t="shared" si="19"/>
        <v>0</v>
      </c>
      <c r="J33" s="31">
        <v>0</v>
      </c>
      <c r="K33" s="32">
        <v>0</v>
      </c>
      <c r="L33" s="32">
        <v>0</v>
      </c>
      <c r="M33" s="32">
        <v>0</v>
      </c>
      <c r="N33" s="33">
        <f>H33+I33</f>
        <v>0</v>
      </c>
      <c r="O33" s="31">
        <v>0</v>
      </c>
      <c r="P33" s="260">
        <v>0</v>
      </c>
      <c r="Q33" s="165">
        <f t="shared" si="17"/>
        <v>25000</v>
      </c>
      <c r="R33" s="165"/>
      <c r="S33" s="165"/>
      <c r="T33" s="165"/>
      <c r="U33" s="165">
        <v>25000</v>
      </c>
      <c r="V33" s="165"/>
      <c r="W33" s="165"/>
      <c r="X33" s="165">
        <f t="shared" si="18"/>
        <v>25000</v>
      </c>
      <c r="Y33" s="301"/>
      <c r="Z33" s="288"/>
      <c r="AA33" s="316"/>
      <c r="AB33" s="329"/>
      <c r="AC33" s="316"/>
    </row>
    <row r="34" spans="1:29" ht="12.75" hidden="1" customHeight="1" x14ac:dyDescent="0.2">
      <c r="A34" s="6" t="s">
        <v>50</v>
      </c>
      <c r="B34" s="42">
        <v>804</v>
      </c>
      <c r="C34" s="43" t="s">
        <v>32</v>
      </c>
      <c r="D34" s="36" t="s">
        <v>34</v>
      </c>
      <c r="E34" s="44" t="s">
        <v>46</v>
      </c>
      <c r="F34" s="43" t="s">
        <v>51</v>
      </c>
      <c r="G34" s="43"/>
      <c r="H34" s="45">
        <f t="shared" ref="H34:N34" si="21">SUM(H35:H37)</f>
        <v>0</v>
      </c>
      <c r="I34" s="45">
        <f t="shared" si="21"/>
        <v>0</v>
      </c>
      <c r="J34" s="45">
        <f t="shared" si="21"/>
        <v>0</v>
      </c>
      <c r="K34" s="46">
        <f t="shared" si="21"/>
        <v>0</v>
      </c>
      <c r="L34" s="46">
        <f t="shared" si="21"/>
        <v>0</v>
      </c>
      <c r="M34" s="46">
        <f t="shared" si="21"/>
        <v>0</v>
      </c>
      <c r="N34" s="47">
        <f t="shared" si="21"/>
        <v>0</v>
      </c>
      <c r="O34" s="45">
        <f>SUM(O35:O37)</f>
        <v>0</v>
      </c>
      <c r="P34" s="353">
        <f>SUM(P35:P37)</f>
        <v>0</v>
      </c>
      <c r="Q34" s="165">
        <f t="shared" si="17"/>
        <v>0</v>
      </c>
      <c r="R34" s="315"/>
      <c r="S34" s="315"/>
      <c r="T34" s="315"/>
      <c r="U34" s="315"/>
      <c r="V34" s="315"/>
      <c r="W34" s="315"/>
      <c r="X34" s="165">
        <f t="shared" si="18"/>
        <v>0</v>
      </c>
      <c r="Y34" s="301"/>
      <c r="Z34" s="288"/>
      <c r="AA34" s="316"/>
      <c r="AB34" s="387"/>
      <c r="AC34" s="316"/>
    </row>
    <row r="35" spans="1:29" hidden="1" x14ac:dyDescent="0.2">
      <c r="A35" s="40" t="s">
        <v>52</v>
      </c>
      <c r="B35" s="41"/>
      <c r="C35" s="8"/>
      <c r="D35" s="8"/>
      <c r="E35" s="9"/>
      <c r="F35" s="8"/>
      <c r="G35" s="8" t="s">
        <v>53</v>
      </c>
      <c r="H35" s="31">
        <v>0</v>
      </c>
      <c r="I35" s="31">
        <f t="shared" si="19"/>
        <v>0</v>
      </c>
      <c r="J35" s="31">
        <v>0</v>
      </c>
      <c r="K35" s="32">
        <v>0</v>
      </c>
      <c r="L35" s="32">
        <v>0</v>
      </c>
      <c r="M35" s="32">
        <v>0</v>
      </c>
      <c r="N35" s="33">
        <f>H35+I35</f>
        <v>0</v>
      </c>
      <c r="O35" s="31">
        <v>0</v>
      </c>
      <c r="P35" s="260">
        <v>0</v>
      </c>
      <c r="Q35" s="165">
        <f t="shared" si="17"/>
        <v>0</v>
      </c>
      <c r="R35" s="165"/>
      <c r="S35" s="165"/>
      <c r="T35" s="165"/>
      <c r="U35" s="165"/>
      <c r="V35" s="165"/>
      <c r="W35" s="165"/>
      <c r="X35" s="165">
        <f t="shared" si="18"/>
        <v>0</v>
      </c>
      <c r="Y35" s="301"/>
      <c r="Z35" s="288"/>
      <c r="AA35" s="316"/>
      <c r="AB35" s="329"/>
      <c r="AC35" s="316"/>
    </row>
    <row r="36" spans="1:29" ht="25.5" hidden="1" x14ac:dyDescent="0.2">
      <c r="A36" s="40" t="s">
        <v>54</v>
      </c>
      <c r="B36" s="41"/>
      <c r="C36" s="8"/>
      <c r="D36" s="8"/>
      <c r="E36" s="9"/>
      <c r="F36" s="8"/>
      <c r="G36" s="8"/>
      <c r="H36" s="31">
        <v>0</v>
      </c>
      <c r="I36" s="31">
        <f>SUM(J36:M36)</f>
        <v>0</v>
      </c>
      <c r="J36" s="31">
        <v>0</v>
      </c>
      <c r="K36" s="32">
        <v>0</v>
      </c>
      <c r="L36" s="32">
        <v>0</v>
      </c>
      <c r="M36" s="32">
        <v>0</v>
      </c>
      <c r="N36" s="33">
        <f>H36+I36</f>
        <v>0</v>
      </c>
      <c r="O36" s="31">
        <v>0</v>
      </c>
      <c r="P36" s="260">
        <v>0</v>
      </c>
      <c r="Q36" s="165">
        <f t="shared" si="17"/>
        <v>0</v>
      </c>
      <c r="R36" s="165"/>
      <c r="S36" s="165"/>
      <c r="T36" s="165"/>
      <c r="U36" s="165"/>
      <c r="V36" s="165"/>
      <c r="W36" s="165"/>
      <c r="X36" s="165">
        <f t="shared" si="18"/>
        <v>0</v>
      </c>
      <c r="Y36" s="301"/>
      <c r="Z36" s="288"/>
      <c r="AA36" s="316"/>
      <c r="AB36" s="329"/>
      <c r="AC36" s="316"/>
    </row>
    <row r="37" spans="1:29" ht="25.5" hidden="1" x14ac:dyDescent="0.2">
      <c r="A37" s="40" t="s">
        <v>55</v>
      </c>
      <c r="B37" s="41"/>
      <c r="C37" s="8"/>
      <c r="D37" s="8"/>
      <c r="E37" s="9"/>
      <c r="F37" s="8"/>
      <c r="G37" s="8" t="s">
        <v>56</v>
      </c>
      <c r="H37" s="31">
        <v>0</v>
      </c>
      <c r="I37" s="31">
        <f t="shared" si="19"/>
        <v>0</v>
      </c>
      <c r="J37" s="31">
        <v>0</v>
      </c>
      <c r="K37" s="32">
        <v>0</v>
      </c>
      <c r="L37" s="32">
        <v>0</v>
      </c>
      <c r="M37" s="32">
        <v>0</v>
      </c>
      <c r="N37" s="33">
        <f>H37+I37</f>
        <v>0</v>
      </c>
      <c r="O37" s="31">
        <v>0</v>
      </c>
      <c r="P37" s="260">
        <v>0</v>
      </c>
      <c r="Q37" s="165">
        <f t="shared" si="17"/>
        <v>0</v>
      </c>
      <c r="R37" s="165"/>
      <c r="S37" s="165"/>
      <c r="T37" s="165"/>
      <c r="U37" s="165"/>
      <c r="V37" s="165"/>
      <c r="W37" s="165"/>
      <c r="X37" s="165">
        <f t="shared" si="18"/>
        <v>0</v>
      </c>
      <c r="Y37" s="301"/>
      <c r="Z37" s="288"/>
      <c r="AA37" s="316"/>
      <c r="AB37" s="329"/>
      <c r="AC37" s="316"/>
    </row>
    <row r="38" spans="1:29" ht="12.75" hidden="1" customHeight="1" x14ac:dyDescent="0.2">
      <c r="A38" s="6" t="s">
        <v>57</v>
      </c>
      <c r="B38" s="42">
        <v>804</v>
      </c>
      <c r="C38" s="43" t="s">
        <v>32</v>
      </c>
      <c r="D38" s="36" t="s">
        <v>34</v>
      </c>
      <c r="E38" s="44" t="s">
        <v>46</v>
      </c>
      <c r="F38" s="43" t="s">
        <v>58</v>
      </c>
      <c r="G38" s="43"/>
      <c r="H38" s="45">
        <f>SUM(H39:H41)</f>
        <v>0</v>
      </c>
      <c r="I38" s="45">
        <f t="shared" ref="I38:N38" si="22">SUM(I39:I41)</f>
        <v>997.65</v>
      </c>
      <c r="J38" s="45">
        <f t="shared" si="22"/>
        <v>997.65</v>
      </c>
      <c r="K38" s="45">
        <f t="shared" si="22"/>
        <v>0</v>
      </c>
      <c r="L38" s="45">
        <f t="shared" si="22"/>
        <v>0</v>
      </c>
      <c r="M38" s="45">
        <f t="shared" si="22"/>
        <v>0</v>
      </c>
      <c r="N38" s="45">
        <f t="shared" si="22"/>
        <v>997.65</v>
      </c>
      <c r="O38" s="45">
        <f>SUM(O39:O41)</f>
        <v>0</v>
      </c>
      <c r="P38" s="353">
        <f>SUM(P39:P41)</f>
        <v>0</v>
      </c>
      <c r="Q38" s="165">
        <f t="shared" si="17"/>
        <v>0</v>
      </c>
      <c r="R38" s="315"/>
      <c r="S38" s="315"/>
      <c r="T38" s="315"/>
      <c r="U38" s="315"/>
      <c r="V38" s="315"/>
      <c r="W38" s="315"/>
      <c r="X38" s="165">
        <f t="shared" si="18"/>
        <v>0</v>
      </c>
      <c r="Y38" s="301"/>
      <c r="Z38" s="288"/>
      <c r="AA38" s="316"/>
      <c r="AB38" s="387"/>
      <c r="AC38" s="316"/>
    </row>
    <row r="39" spans="1:29" ht="27.75" hidden="1" customHeight="1" x14ac:dyDescent="0.2">
      <c r="A39" s="38" t="s">
        <v>59</v>
      </c>
      <c r="B39" s="39"/>
      <c r="C39" s="8"/>
      <c r="D39" s="8"/>
      <c r="E39" s="9"/>
      <c r="F39" s="8"/>
      <c r="G39" s="8" t="s">
        <v>60</v>
      </c>
      <c r="H39" s="31">
        <v>0</v>
      </c>
      <c r="I39" s="31">
        <f t="shared" si="19"/>
        <v>0</v>
      </c>
      <c r="J39" s="31">
        <v>0</v>
      </c>
      <c r="K39" s="32">
        <v>0</v>
      </c>
      <c r="L39" s="32">
        <v>0</v>
      </c>
      <c r="M39" s="32">
        <v>0</v>
      </c>
      <c r="N39" s="33">
        <f>H39+I39</f>
        <v>0</v>
      </c>
      <c r="O39" s="31">
        <v>0</v>
      </c>
      <c r="P39" s="260">
        <v>0</v>
      </c>
      <c r="Q39" s="165">
        <f t="shared" si="17"/>
        <v>0</v>
      </c>
      <c r="R39" s="165"/>
      <c r="S39" s="165"/>
      <c r="T39" s="165"/>
      <c r="U39" s="165"/>
      <c r="V39" s="165"/>
      <c r="W39" s="165"/>
      <c r="X39" s="165">
        <f t="shared" si="18"/>
        <v>0</v>
      </c>
      <c r="Y39" s="301"/>
      <c r="Z39" s="288"/>
      <c r="AA39" s="316"/>
      <c r="AB39" s="329"/>
      <c r="AC39" s="316"/>
    </row>
    <row r="40" spans="1:29" ht="27.75" hidden="1" customHeight="1" x14ac:dyDescent="0.2">
      <c r="A40" s="38" t="s">
        <v>61</v>
      </c>
      <c r="B40" s="39"/>
      <c r="C40" s="8"/>
      <c r="D40" s="8"/>
      <c r="E40" s="9"/>
      <c r="F40" s="8"/>
      <c r="G40" s="8" t="s">
        <v>62</v>
      </c>
      <c r="H40" s="31">
        <v>0</v>
      </c>
      <c r="I40" s="31">
        <f t="shared" si="19"/>
        <v>997.65</v>
      </c>
      <c r="J40" s="31">
        <v>997.65</v>
      </c>
      <c r="K40" s="32"/>
      <c r="L40" s="32"/>
      <c r="M40" s="32"/>
      <c r="N40" s="33">
        <f>H40+I40</f>
        <v>997.65</v>
      </c>
      <c r="O40" s="31">
        <v>0</v>
      </c>
      <c r="P40" s="260">
        <v>0</v>
      </c>
      <c r="Q40" s="165">
        <f t="shared" si="17"/>
        <v>0</v>
      </c>
      <c r="R40" s="165"/>
      <c r="S40" s="165"/>
      <c r="T40" s="165"/>
      <c r="U40" s="165"/>
      <c r="V40" s="165"/>
      <c r="W40" s="165"/>
      <c r="X40" s="165">
        <f t="shared" si="18"/>
        <v>0</v>
      </c>
      <c r="Y40" s="301"/>
      <c r="Z40" s="288"/>
      <c r="AA40" s="316"/>
      <c r="AB40" s="329"/>
      <c r="AC40" s="316"/>
    </row>
    <row r="41" spans="1:29" ht="25.5" hidden="1" customHeight="1" x14ac:dyDescent="0.2">
      <c r="A41" s="38" t="s">
        <v>63</v>
      </c>
      <c r="B41" s="39"/>
      <c r="C41" s="8"/>
      <c r="D41" s="8"/>
      <c r="E41" s="9"/>
      <c r="F41" s="8"/>
      <c r="G41" s="8" t="s">
        <v>64</v>
      </c>
      <c r="H41" s="31">
        <v>0</v>
      </c>
      <c r="I41" s="31">
        <f t="shared" si="19"/>
        <v>0</v>
      </c>
      <c r="J41" s="31">
        <v>0</v>
      </c>
      <c r="K41" s="32">
        <v>0</v>
      </c>
      <c r="L41" s="32">
        <v>0</v>
      </c>
      <c r="M41" s="32">
        <v>0</v>
      </c>
      <c r="N41" s="33">
        <f>H41+I41</f>
        <v>0</v>
      </c>
      <c r="O41" s="31">
        <v>0</v>
      </c>
      <c r="P41" s="260">
        <v>0</v>
      </c>
      <c r="Q41" s="165">
        <f t="shared" si="17"/>
        <v>0</v>
      </c>
      <c r="R41" s="165"/>
      <c r="S41" s="165"/>
      <c r="T41" s="165"/>
      <c r="U41" s="165"/>
      <c r="V41" s="165"/>
      <c r="W41" s="165"/>
      <c r="X41" s="165">
        <f t="shared" si="18"/>
        <v>0</v>
      </c>
      <c r="Y41" s="301"/>
      <c r="Z41" s="288"/>
      <c r="AA41" s="316"/>
      <c r="AB41" s="329"/>
      <c r="AC41" s="316"/>
    </row>
    <row r="42" spans="1:29" hidden="1" x14ac:dyDescent="0.2">
      <c r="A42" s="23" t="s">
        <v>65</v>
      </c>
      <c r="B42" s="24">
        <v>804</v>
      </c>
      <c r="C42" s="25" t="s">
        <v>32</v>
      </c>
      <c r="D42" s="36" t="s">
        <v>34</v>
      </c>
      <c r="E42" s="26" t="s">
        <v>46</v>
      </c>
      <c r="F42" s="25" t="s">
        <v>66</v>
      </c>
      <c r="G42" s="25"/>
      <c r="H42" s="45">
        <f>SUM(H43:H44)</f>
        <v>0</v>
      </c>
      <c r="I42" s="45">
        <f t="shared" ref="I42:N42" si="23">SUM(I43:I44)</f>
        <v>1500</v>
      </c>
      <c r="J42" s="45">
        <f t="shared" si="23"/>
        <v>1500</v>
      </c>
      <c r="K42" s="45">
        <f t="shared" si="23"/>
        <v>0</v>
      </c>
      <c r="L42" s="45">
        <f t="shared" si="23"/>
        <v>0</v>
      </c>
      <c r="M42" s="45">
        <f t="shared" si="23"/>
        <v>0</v>
      </c>
      <c r="N42" s="45">
        <f t="shared" si="23"/>
        <v>1500</v>
      </c>
      <c r="O42" s="45">
        <f>SUM(O43:O44)</f>
        <v>0</v>
      </c>
      <c r="P42" s="353">
        <f>SUM(P43:P44)</f>
        <v>0</v>
      </c>
      <c r="Q42" s="165">
        <f t="shared" si="17"/>
        <v>0</v>
      </c>
      <c r="R42" s="315"/>
      <c r="S42" s="315"/>
      <c r="T42" s="315"/>
      <c r="U42" s="315"/>
      <c r="V42" s="315"/>
      <c r="W42" s="315"/>
      <c r="X42" s="165">
        <f t="shared" si="18"/>
        <v>0</v>
      </c>
      <c r="Y42" s="301"/>
      <c r="Z42" s="288"/>
      <c r="AA42" s="316"/>
      <c r="AB42" s="387"/>
      <c r="AC42" s="316"/>
    </row>
    <row r="43" spans="1:29" ht="25.5" hidden="1" customHeight="1" x14ac:dyDescent="0.2">
      <c r="A43" s="38" t="s">
        <v>67</v>
      </c>
      <c r="B43" s="39"/>
      <c r="C43" s="8"/>
      <c r="D43" s="8"/>
      <c r="E43" s="9"/>
      <c r="F43" s="8"/>
      <c r="G43" s="8" t="s">
        <v>68</v>
      </c>
      <c r="H43" s="31">
        <v>0</v>
      </c>
      <c r="I43" s="31">
        <f t="shared" si="19"/>
        <v>0</v>
      </c>
      <c r="J43" s="31"/>
      <c r="K43" s="32"/>
      <c r="L43" s="32"/>
      <c r="M43" s="32"/>
      <c r="N43" s="33">
        <f>H43+I43</f>
        <v>0</v>
      </c>
      <c r="O43" s="31">
        <v>0</v>
      </c>
      <c r="P43" s="260">
        <v>0</v>
      </c>
      <c r="Q43" s="165">
        <f t="shared" si="17"/>
        <v>0</v>
      </c>
      <c r="R43" s="165"/>
      <c r="S43" s="165"/>
      <c r="T43" s="165"/>
      <c r="U43" s="165"/>
      <c r="V43" s="165"/>
      <c r="W43" s="165"/>
      <c r="X43" s="165">
        <f t="shared" si="18"/>
        <v>0</v>
      </c>
      <c r="Y43" s="301"/>
      <c r="Z43" s="288"/>
      <c r="AA43" s="316"/>
      <c r="AB43" s="329"/>
      <c r="AC43" s="316"/>
    </row>
    <row r="44" spans="1:29" ht="17.25" hidden="1" customHeight="1" x14ac:dyDescent="0.2">
      <c r="A44" s="38" t="s">
        <v>65</v>
      </c>
      <c r="B44" s="39"/>
      <c r="C44" s="8"/>
      <c r="D44" s="8"/>
      <c r="E44" s="9"/>
      <c r="F44" s="8"/>
      <c r="G44" s="8" t="s">
        <v>69</v>
      </c>
      <c r="H44" s="31">
        <v>0</v>
      </c>
      <c r="I44" s="31">
        <f t="shared" si="19"/>
        <v>1500</v>
      </c>
      <c r="J44" s="31">
        <v>1500</v>
      </c>
      <c r="K44" s="32"/>
      <c r="L44" s="32"/>
      <c r="M44" s="32"/>
      <c r="N44" s="33">
        <f>H44+I44</f>
        <v>1500</v>
      </c>
      <c r="O44" s="31">
        <v>0</v>
      </c>
      <c r="P44" s="260">
        <v>0</v>
      </c>
      <c r="Q44" s="165">
        <f t="shared" si="17"/>
        <v>0</v>
      </c>
      <c r="R44" s="165"/>
      <c r="S44" s="165"/>
      <c r="T44" s="165"/>
      <c r="U44" s="165"/>
      <c r="V44" s="165"/>
      <c r="W44" s="165"/>
      <c r="X44" s="165">
        <f t="shared" si="18"/>
        <v>0</v>
      </c>
      <c r="Y44" s="301"/>
      <c r="Z44" s="288"/>
      <c r="AA44" s="316"/>
      <c r="AB44" s="329"/>
      <c r="AC44" s="316"/>
    </row>
    <row r="45" spans="1:29" ht="17.25" hidden="1" customHeight="1" x14ac:dyDescent="0.2">
      <c r="A45" s="38" t="s">
        <v>106</v>
      </c>
      <c r="B45" s="39">
        <v>804</v>
      </c>
      <c r="C45" s="8" t="s">
        <v>32</v>
      </c>
      <c r="D45" s="30" t="s">
        <v>34</v>
      </c>
      <c r="E45" s="9" t="s">
        <v>44</v>
      </c>
      <c r="F45" s="8" t="s">
        <v>58</v>
      </c>
      <c r="G45" s="8" t="s">
        <v>60</v>
      </c>
      <c r="H45" s="31"/>
      <c r="I45" s="31"/>
      <c r="J45" s="31"/>
      <c r="K45" s="32"/>
      <c r="L45" s="32"/>
      <c r="M45" s="32"/>
      <c r="N45" s="33"/>
      <c r="O45" s="31"/>
      <c r="P45" s="260">
        <v>0</v>
      </c>
      <c r="Q45" s="165">
        <f t="shared" si="17"/>
        <v>0</v>
      </c>
      <c r="R45" s="165"/>
      <c r="S45" s="165"/>
      <c r="T45" s="165"/>
      <c r="U45" s="165">
        <v>0</v>
      </c>
      <c r="V45" s="165"/>
      <c r="W45" s="165"/>
      <c r="X45" s="165">
        <f t="shared" si="18"/>
        <v>0</v>
      </c>
      <c r="Y45" s="301"/>
      <c r="Z45" s="288"/>
      <c r="AA45" s="316"/>
      <c r="AB45" s="329"/>
      <c r="AC45" s="316"/>
    </row>
    <row r="46" spans="1:29" s="316" customFormat="1" x14ac:dyDescent="0.2">
      <c r="A46" s="121" t="s">
        <v>70</v>
      </c>
      <c r="B46" s="458">
        <v>804</v>
      </c>
      <c r="C46" s="89" t="s">
        <v>32</v>
      </c>
      <c r="D46" s="57" t="s">
        <v>34</v>
      </c>
      <c r="E46" s="123" t="s">
        <v>46</v>
      </c>
      <c r="F46" s="89" t="s">
        <v>71</v>
      </c>
      <c r="G46" s="89"/>
      <c r="H46" s="124">
        <f t="shared" ref="H46:N46" si="24">H47+H49</f>
        <v>35000</v>
      </c>
      <c r="I46" s="124">
        <f t="shared" si="24"/>
        <v>0</v>
      </c>
      <c r="J46" s="124">
        <f t="shared" si="24"/>
        <v>0</v>
      </c>
      <c r="K46" s="359">
        <f t="shared" si="24"/>
        <v>0</v>
      </c>
      <c r="L46" s="359">
        <f t="shared" si="24"/>
        <v>0</v>
      </c>
      <c r="M46" s="359">
        <f t="shared" si="24"/>
        <v>0</v>
      </c>
      <c r="N46" s="360">
        <f t="shared" si="24"/>
        <v>35000</v>
      </c>
      <c r="O46" s="124">
        <f>O47+O49</f>
        <v>28000</v>
      </c>
      <c r="P46" s="258">
        <f>P47+P49</f>
        <v>12000</v>
      </c>
      <c r="Q46" s="258">
        <f t="shared" ref="Q46:X46" si="25">Q47+Q49</f>
        <v>0</v>
      </c>
      <c r="R46" s="258">
        <f t="shared" si="25"/>
        <v>0</v>
      </c>
      <c r="S46" s="258">
        <f t="shared" si="25"/>
        <v>0</v>
      </c>
      <c r="T46" s="258">
        <f t="shared" si="25"/>
        <v>0</v>
      </c>
      <c r="U46" s="258">
        <f t="shared" si="25"/>
        <v>0</v>
      </c>
      <c r="V46" s="258">
        <f t="shared" si="25"/>
        <v>0</v>
      </c>
      <c r="W46" s="258">
        <f t="shared" si="25"/>
        <v>0</v>
      </c>
      <c r="X46" s="258">
        <f t="shared" si="25"/>
        <v>12000</v>
      </c>
      <c r="Y46" s="301"/>
      <c r="Z46" s="288"/>
      <c r="AB46" s="385"/>
    </row>
    <row r="47" spans="1:29" ht="12.75" hidden="1" customHeight="1" x14ac:dyDescent="0.2">
      <c r="A47" s="6" t="s">
        <v>72</v>
      </c>
      <c r="B47" s="7">
        <v>804</v>
      </c>
      <c r="C47" s="8" t="s">
        <v>32</v>
      </c>
      <c r="D47" s="30" t="s">
        <v>34</v>
      </c>
      <c r="E47" s="9" t="s">
        <v>46</v>
      </c>
      <c r="F47" s="8" t="s">
        <v>73</v>
      </c>
      <c r="G47" s="8"/>
      <c r="H47" s="31">
        <f t="shared" ref="H47:P47" si="26">H48</f>
        <v>0</v>
      </c>
      <c r="I47" s="31">
        <f t="shared" si="26"/>
        <v>0</v>
      </c>
      <c r="J47" s="31">
        <f t="shared" si="26"/>
        <v>0</v>
      </c>
      <c r="K47" s="32">
        <f t="shared" si="26"/>
        <v>0</v>
      </c>
      <c r="L47" s="32">
        <f t="shared" si="26"/>
        <v>0</v>
      </c>
      <c r="M47" s="32">
        <f t="shared" si="26"/>
        <v>0</v>
      </c>
      <c r="N47" s="33">
        <f t="shared" si="26"/>
        <v>0</v>
      </c>
      <c r="O47" s="31">
        <f t="shared" si="26"/>
        <v>0</v>
      </c>
      <c r="P47" s="260">
        <f t="shared" si="26"/>
        <v>0</v>
      </c>
      <c r="Q47" s="165"/>
      <c r="R47" s="165"/>
      <c r="S47" s="165"/>
      <c r="T47" s="165"/>
      <c r="U47" s="165"/>
      <c r="V47" s="165"/>
      <c r="W47" s="165"/>
      <c r="X47" s="165"/>
      <c r="Y47" s="301"/>
      <c r="Z47" s="288"/>
      <c r="AA47" s="316"/>
      <c r="AB47" s="329"/>
      <c r="AC47" s="316"/>
    </row>
    <row r="48" spans="1:29" ht="51" hidden="1" customHeight="1" x14ac:dyDescent="0.2">
      <c r="A48" s="40" t="s">
        <v>74</v>
      </c>
      <c r="B48" s="41"/>
      <c r="C48" s="8"/>
      <c r="D48" s="8"/>
      <c r="E48" s="9"/>
      <c r="F48" s="8"/>
      <c r="G48" s="8" t="s">
        <v>75</v>
      </c>
      <c r="H48" s="31">
        <v>0</v>
      </c>
      <c r="I48" s="31">
        <f>SUM(J48:M48)</f>
        <v>0</v>
      </c>
      <c r="J48" s="31">
        <v>0</v>
      </c>
      <c r="K48" s="32">
        <v>0</v>
      </c>
      <c r="L48" s="32">
        <v>0</v>
      </c>
      <c r="M48" s="32">
        <v>0</v>
      </c>
      <c r="N48" s="33">
        <f>H48+I48</f>
        <v>0</v>
      </c>
      <c r="O48" s="31">
        <v>0</v>
      </c>
      <c r="P48" s="260">
        <v>0</v>
      </c>
      <c r="Q48" s="165"/>
      <c r="R48" s="165"/>
      <c r="S48" s="165"/>
      <c r="T48" s="165"/>
      <c r="U48" s="165"/>
      <c r="V48" s="165"/>
      <c r="W48" s="165"/>
      <c r="X48" s="165"/>
      <c r="Y48" s="301"/>
      <c r="Z48" s="288"/>
      <c r="AA48" s="316"/>
      <c r="AB48" s="329"/>
      <c r="AC48" s="316"/>
    </row>
    <row r="49" spans="1:29" s="52" customFormat="1" ht="26.25" customHeight="1" x14ac:dyDescent="0.2">
      <c r="A49" s="48" t="s">
        <v>76</v>
      </c>
      <c r="B49" s="42">
        <v>804</v>
      </c>
      <c r="C49" s="49" t="s">
        <v>32</v>
      </c>
      <c r="D49" s="36" t="s">
        <v>34</v>
      </c>
      <c r="E49" s="50" t="s">
        <v>19</v>
      </c>
      <c r="F49" s="49" t="s">
        <v>77</v>
      </c>
      <c r="G49" s="49"/>
      <c r="H49" s="51">
        <f t="shared" ref="H49:N49" si="27">SUM(H50:H52)</f>
        <v>35000</v>
      </c>
      <c r="I49" s="45">
        <f t="shared" si="27"/>
        <v>0</v>
      </c>
      <c r="J49" s="45">
        <f t="shared" si="27"/>
        <v>0</v>
      </c>
      <c r="K49" s="46">
        <f t="shared" si="27"/>
        <v>0</v>
      </c>
      <c r="L49" s="46">
        <f t="shared" si="27"/>
        <v>0</v>
      </c>
      <c r="M49" s="46">
        <f t="shared" si="27"/>
        <v>0</v>
      </c>
      <c r="N49" s="47">
        <f t="shared" si="27"/>
        <v>35000</v>
      </c>
      <c r="O49" s="51">
        <f>SUM(O50:O52)</f>
        <v>28000</v>
      </c>
      <c r="P49" s="350">
        <f>SUM(P50:P53)</f>
        <v>12000</v>
      </c>
      <c r="Q49" s="350">
        <f t="shared" ref="Q49:X49" si="28">SUM(Q50:Q53)</f>
        <v>0</v>
      </c>
      <c r="R49" s="350">
        <f t="shared" si="28"/>
        <v>0</v>
      </c>
      <c r="S49" s="350">
        <f t="shared" si="28"/>
        <v>0</v>
      </c>
      <c r="T49" s="350">
        <f t="shared" si="28"/>
        <v>0</v>
      </c>
      <c r="U49" s="350">
        <f t="shared" si="28"/>
        <v>0</v>
      </c>
      <c r="V49" s="350">
        <f t="shared" si="28"/>
        <v>0</v>
      </c>
      <c r="W49" s="350">
        <f t="shared" si="28"/>
        <v>0</v>
      </c>
      <c r="X49" s="350">
        <f t="shared" si="28"/>
        <v>12000</v>
      </c>
      <c r="Y49" s="369"/>
      <c r="Z49" s="289"/>
      <c r="AA49" s="319"/>
      <c r="AB49" s="388"/>
      <c r="AC49" s="319"/>
    </row>
    <row r="50" spans="1:29" ht="15" hidden="1" customHeight="1" x14ac:dyDescent="0.2">
      <c r="A50" s="6" t="s">
        <v>78</v>
      </c>
      <c r="B50" s="7"/>
      <c r="C50" s="8"/>
      <c r="D50" s="8"/>
      <c r="E50" s="9" t="s">
        <v>46</v>
      </c>
      <c r="F50" s="8"/>
      <c r="G50" s="8" t="s">
        <v>79</v>
      </c>
      <c r="H50" s="31">
        <v>5000</v>
      </c>
      <c r="I50" s="31">
        <f>SUM(J50:M50)</f>
        <v>0</v>
      </c>
      <c r="J50" s="31"/>
      <c r="K50" s="32"/>
      <c r="L50" s="32"/>
      <c r="M50" s="32"/>
      <c r="N50" s="33">
        <f>H50+I50</f>
        <v>5000</v>
      </c>
      <c r="O50" s="31">
        <f>5000*80%</f>
        <v>4000</v>
      </c>
      <c r="P50" s="260">
        <v>0</v>
      </c>
      <c r="Q50" s="165"/>
      <c r="R50" s="165"/>
      <c r="S50" s="165"/>
      <c r="T50" s="165"/>
      <c r="U50" s="165"/>
      <c r="V50" s="165"/>
      <c r="W50" s="165"/>
      <c r="X50" s="165"/>
      <c r="Y50" s="301"/>
      <c r="Z50" s="288"/>
      <c r="AA50" s="316"/>
      <c r="AB50" s="329"/>
      <c r="AC50" s="316"/>
    </row>
    <row r="51" spans="1:29" ht="24" customHeight="1" x14ac:dyDescent="0.2">
      <c r="A51" s="40" t="s">
        <v>80</v>
      </c>
      <c r="B51" s="41"/>
      <c r="C51" s="8"/>
      <c r="D51" s="8"/>
      <c r="E51" s="9" t="s">
        <v>44</v>
      </c>
      <c r="F51" s="8" t="s">
        <v>554</v>
      </c>
      <c r="G51" s="8" t="s">
        <v>81</v>
      </c>
      <c r="H51" s="31">
        <v>20000</v>
      </c>
      <c r="I51" s="31">
        <f>SUM(J51:M51)</f>
        <v>0</v>
      </c>
      <c r="J51" s="31"/>
      <c r="K51" s="32"/>
      <c r="L51" s="32"/>
      <c r="M51" s="32"/>
      <c r="N51" s="33">
        <f>H51+I51</f>
        <v>20000</v>
      </c>
      <c r="O51" s="31">
        <f>20000*80%</f>
        <v>16000</v>
      </c>
      <c r="P51" s="260">
        <v>8000</v>
      </c>
      <c r="Q51" s="165">
        <f>R51+S51+T51+U51+V51</f>
        <v>0</v>
      </c>
      <c r="R51" s="165">
        <v>0</v>
      </c>
      <c r="S51" s="165"/>
      <c r="T51" s="165"/>
      <c r="U51" s="165"/>
      <c r="V51" s="165"/>
      <c r="W51" s="165"/>
      <c r="X51" s="165">
        <f>P51+Q51</f>
        <v>8000</v>
      </c>
      <c r="Y51" s="301" t="s">
        <v>594</v>
      </c>
      <c r="Z51" s="288"/>
      <c r="AA51" s="316"/>
      <c r="AB51" s="329"/>
      <c r="AC51" s="316"/>
    </row>
    <row r="52" spans="1:29" ht="30" customHeight="1" x14ac:dyDescent="0.2">
      <c r="A52" s="40" t="s">
        <v>80</v>
      </c>
      <c r="B52" s="41"/>
      <c r="C52" s="8"/>
      <c r="D52" s="8"/>
      <c r="E52" s="9" t="s">
        <v>46</v>
      </c>
      <c r="F52" s="8" t="s">
        <v>554</v>
      </c>
      <c r="G52" s="8" t="s">
        <v>81</v>
      </c>
      <c r="H52" s="31">
        <v>10000</v>
      </c>
      <c r="I52" s="31">
        <f>SUM(J52:M52)</f>
        <v>0</v>
      </c>
      <c r="J52" s="31"/>
      <c r="K52" s="32"/>
      <c r="L52" s="32"/>
      <c r="M52" s="32"/>
      <c r="N52" s="33">
        <f>H52+I52</f>
        <v>10000</v>
      </c>
      <c r="O52" s="31">
        <f>10000*80%</f>
        <v>8000</v>
      </c>
      <c r="P52" s="260">
        <v>4000</v>
      </c>
      <c r="Q52" s="165">
        <f>R52+S52+T52+U52+V52</f>
        <v>0</v>
      </c>
      <c r="R52" s="165">
        <v>0</v>
      </c>
      <c r="S52" s="165"/>
      <c r="T52" s="165"/>
      <c r="U52" s="165"/>
      <c r="V52" s="165"/>
      <c r="W52" s="165"/>
      <c r="X52" s="165">
        <f>P52+Q52</f>
        <v>4000</v>
      </c>
      <c r="Y52" s="301" t="s">
        <v>594</v>
      </c>
      <c r="Z52" s="288"/>
      <c r="AA52" s="316"/>
      <c r="AB52" s="329"/>
      <c r="AC52" s="316"/>
    </row>
    <row r="53" spans="1:29" ht="30" hidden="1" customHeight="1" x14ac:dyDescent="0.2">
      <c r="A53" s="40" t="s">
        <v>424</v>
      </c>
      <c r="B53" s="41"/>
      <c r="C53" s="8"/>
      <c r="D53" s="8"/>
      <c r="E53" s="9" t="s">
        <v>46</v>
      </c>
      <c r="F53" s="8"/>
      <c r="G53" s="8" t="s">
        <v>79</v>
      </c>
      <c r="H53" s="31"/>
      <c r="I53" s="31"/>
      <c r="J53" s="31"/>
      <c r="K53" s="32"/>
      <c r="L53" s="32"/>
      <c r="M53" s="32"/>
      <c r="N53" s="33"/>
      <c r="O53" s="31"/>
      <c r="P53" s="260">
        <v>0</v>
      </c>
      <c r="Q53" s="165">
        <f>R53+S53+T53+U53</f>
        <v>0</v>
      </c>
      <c r="R53" s="165">
        <v>0</v>
      </c>
      <c r="S53" s="165"/>
      <c r="T53" s="165"/>
      <c r="U53" s="165"/>
      <c r="V53" s="165"/>
      <c r="W53" s="165"/>
      <c r="X53" s="165">
        <f>P53+Q53</f>
        <v>0</v>
      </c>
      <c r="Y53" s="301"/>
      <c r="Z53" s="288"/>
      <c r="AA53" s="316"/>
      <c r="AB53" s="329"/>
      <c r="AC53" s="316"/>
    </row>
    <row r="54" spans="1:29" ht="24.75" customHeight="1" x14ac:dyDescent="0.2">
      <c r="A54" s="16" t="s">
        <v>82</v>
      </c>
      <c r="B54" s="17"/>
      <c r="C54" s="18" t="s">
        <v>83</v>
      </c>
      <c r="D54" s="18" t="s">
        <v>18</v>
      </c>
      <c r="E54" s="19" t="s">
        <v>19</v>
      </c>
      <c r="F54" s="18" t="s">
        <v>19</v>
      </c>
      <c r="G54" s="18"/>
      <c r="H54" s="20">
        <f t="shared" ref="H54:O55" si="29">H55</f>
        <v>15980184.85</v>
      </c>
      <c r="I54" s="20">
        <f t="shared" si="29"/>
        <v>666515.07000000007</v>
      </c>
      <c r="J54" s="20">
        <f t="shared" si="29"/>
        <v>-90223.260000000009</v>
      </c>
      <c r="K54" s="21">
        <f t="shared" si="29"/>
        <v>0</v>
      </c>
      <c r="L54" s="21">
        <f t="shared" si="29"/>
        <v>0</v>
      </c>
      <c r="M54" s="21">
        <f t="shared" si="29"/>
        <v>756738.33000000007</v>
      </c>
      <c r="N54" s="22">
        <f t="shared" si="29"/>
        <v>16626699.92</v>
      </c>
      <c r="O54" s="20">
        <f t="shared" si="29"/>
        <v>15389895.472000001</v>
      </c>
      <c r="P54" s="257">
        <f>P55</f>
        <v>9220597.7799999993</v>
      </c>
      <c r="Q54" s="257">
        <f t="shared" ref="Q54:X55" si="30">Q55</f>
        <v>1291650.3599999999</v>
      </c>
      <c r="R54" s="257">
        <f t="shared" si="30"/>
        <v>944525.64999999991</v>
      </c>
      <c r="S54" s="257">
        <f t="shared" si="30"/>
        <v>0</v>
      </c>
      <c r="T54" s="257">
        <f t="shared" si="30"/>
        <v>0</v>
      </c>
      <c r="U54" s="257">
        <f>U55</f>
        <v>347124.70999999996</v>
      </c>
      <c r="V54" s="257">
        <f t="shared" si="30"/>
        <v>0</v>
      </c>
      <c r="W54" s="257">
        <f t="shared" si="30"/>
        <v>0</v>
      </c>
      <c r="X54" s="257">
        <f t="shared" si="30"/>
        <v>10512248.140000001</v>
      </c>
      <c r="Y54" s="382"/>
      <c r="Z54" s="288"/>
      <c r="AA54" s="316"/>
      <c r="AB54" s="385"/>
      <c r="AC54" s="316"/>
    </row>
    <row r="55" spans="1:29" ht="25.5" x14ac:dyDescent="0.2">
      <c r="A55" s="23" t="s">
        <v>33</v>
      </c>
      <c r="B55" s="24">
        <v>804</v>
      </c>
      <c r="C55" s="25" t="s">
        <v>83</v>
      </c>
      <c r="D55" s="36" t="s">
        <v>34</v>
      </c>
      <c r="E55" s="26" t="s">
        <v>19</v>
      </c>
      <c r="F55" s="25" t="s">
        <v>19</v>
      </c>
      <c r="G55" s="25"/>
      <c r="H55" s="27">
        <f t="shared" si="29"/>
        <v>15980184.85</v>
      </c>
      <c r="I55" s="27">
        <f t="shared" si="29"/>
        <v>666515.07000000007</v>
      </c>
      <c r="J55" s="27">
        <f t="shared" si="29"/>
        <v>-90223.260000000009</v>
      </c>
      <c r="K55" s="28">
        <f t="shared" si="29"/>
        <v>0</v>
      </c>
      <c r="L55" s="28">
        <f t="shared" si="29"/>
        <v>0</v>
      </c>
      <c r="M55" s="28">
        <f t="shared" si="29"/>
        <v>756738.33000000007</v>
      </c>
      <c r="N55" s="29">
        <f t="shared" si="29"/>
        <v>16626699.92</v>
      </c>
      <c r="O55" s="27">
        <f t="shared" si="29"/>
        <v>15389895.472000001</v>
      </c>
      <c r="P55" s="258">
        <f>P56</f>
        <v>9220597.7799999993</v>
      </c>
      <c r="Q55" s="258">
        <f t="shared" si="30"/>
        <v>1291650.3599999999</v>
      </c>
      <c r="R55" s="258">
        <f t="shared" si="30"/>
        <v>944525.64999999991</v>
      </c>
      <c r="S55" s="258">
        <f t="shared" si="30"/>
        <v>0</v>
      </c>
      <c r="T55" s="258">
        <f t="shared" si="30"/>
        <v>0</v>
      </c>
      <c r="U55" s="258">
        <f t="shared" si="30"/>
        <v>347124.70999999996</v>
      </c>
      <c r="V55" s="258">
        <f t="shared" si="30"/>
        <v>0</v>
      </c>
      <c r="W55" s="258">
        <f t="shared" si="30"/>
        <v>0</v>
      </c>
      <c r="X55" s="258">
        <f t="shared" si="30"/>
        <v>10512248.140000001</v>
      </c>
      <c r="Y55" s="301"/>
      <c r="Z55" s="288"/>
      <c r="AA55" s="316"/>
      <c r="AB55" s="385"/>
      <c r="AC55" s="316"/>
    </row>
    <row r="56" spans="1:29" x14ac:dyDescent="0.2">
      <c r="A56" s="23" t="s">
        <v>35</v>
      </c>
      <c r="B56" s="24">
        <v>804</v>
      </c>
      <c r="C56" s="25" t="s">
        <v>83</v>
      </c>
      <c r="D56" s="36" t="s">
        <v>34</v>
      </c>
      <c r="E56" s="26" t="s">
        <v>19</v>
      </c>
      <c r="F56" s="25" t="s">
        <v>19</v>
      </c>
      <c r="G56" s="25"/>
      <c r="H56" s="27">
        <f t="shared" ref="H56:N56" si="31">H57+H65+H94+H99+H92</f>
        <v>15980184.85</v>
      </c>
      <c r="I56" s="27">
        <f t="shared" si="31"/>
        <v>666515.07000000007</v>
      </c>
      <c r="J56" s="27">
        <f t="shared" si="31"/>
        <v>-90223.260000000009</v>
      </c>
      <c r="K56" s="28">
        <f t="shared" si="31"/>
        <v>0</v>
      </c>
      <c r="L56" s="28">
        <f t="shared" si="31"/>
        <v>0</v>
      </c>
      <c r="M56" s="28">
        <f t="shared" si="31"/>
        <v>756738.33000000007</v>
      </c>
      <c r="N56" s="28">
        <f t="shared" si="31"/>
        <v>16626699.92</v>
      </c>
      <c r="O56" s="27">
        <f>O57+O65+O94+O99+O92</f>
        <v>15389895.472000001</v>
      </c>
      <c r="P56" s="438">
        <f>P57+P65+P94+P99+P92</f>
        <v>9220597.7799999993</v>
      </c>
      <c r="Q56" s="258">
        <f t="shared" ref="Q56:X56" si="32">Q57+Q65+Q94+Q99+Q92</f>
        <v>1291650.3599999999</v>
      </c>
      <c r="R56" s="258">
        <f t="shared" si="32"/>
        <v>944525.64999999991</v>
      </c>
      <c r="S56" s="258">
        <f t="shared" si="32"/>
        <v>0</v>
      </c>
      <c r="T56" s="258">
        <f t="shared" si="32"/>
        <v>0</v>
      </c>
      <c r="U56" s="258">
        <f>U57+U65+U94+U99+U92</f>
        <v>347124.70999999996</v>
      </c>
      <c r="V56" s="258">
        <f t="shared" si="32"/>
        <v>0</v>
      </c>
      <c r="W56" s="258">
        <f t="shared" si="32"/>
        <v>0</v>
      </c>
      <c r="X56" s="258">
        <f t="shared" si="32"/>
        <v>10512248.140000001</v>
      </c>
      <c r="Y56" s="301"/>
      <c r="Z56" s="288"/>
      <c r="AA56" s="316"/>
      <c r="AB56" s="385"/>
      <c r="AC56" s="316"/>
    </row>
    <row r="57" spans="1:29" ht="24" customHeight="1" x14ac:dyDescent="0.2">
      <c r="A57" s="23" t="s">
        <v>24</v>
      </c>
      <c r="B57" s="24">
        <v>804</v>
      </c>
      <c r="C57" s="25" t="s">
        <v>83</v>
      </c>
      <c r="D57" s="36" t="s">
        <v>34</v>
      </c>
      <c r="E57" s="26" t="s">
        <v>84</v>
      </c>
      <c r="F57" s="25" t="s">
        <v>25</v>
      </c>
      <c r="G57" s="25"/>
      <c r="H57" s="27">
        <f>H58+H59+H63</f>
        <v>6446619.2599999998</v>
      </c>
      <c r="I57" s="27">
        <f t="shared" ref="I57:N57" si="33">I58+I59+I63</f>
        <v>-100555.1</v>
      </c>
      <c r="J57" s="27">
        <f t="shared" si="33"/>
        <v>-100555.1</v>
      </c>
      <c r="K57" s="28">
        <f t="shared" si="33"/>
        <v>0</v>
      </c>
      <c r="L57" s="28">
        <f t="shared" si="33"/>
        <v>0</v>
      </c>
      <c r="M57" s="28">
        <f t="shared" si="33"/>
        <v>0</v>
      </c>
      <c r="N57" s="29">
        <f t="shared" si="33"/>
        <v>6346064.1600000001</v>
      </c>
      <c r="O57" s="27">
        <f>O58+O59+O63</f>
        <v>6446619.2599999998</v>
      </c>
      <c r="P57" s="438">
        <f>P58+P59+P63+P64</f>
        <v>7023266.3200000003</v>
      </c>
      <c r="Q57" s="258">
        <f t="shared" ref="Q57:W57" si="34">Q58+Q59+Q63+Q64</f>
        <v>-27870</v>
      </c>
      <c r="R57" s="258">
        <f>R58+R59+R63+R64</f>
        <v>-29400</v>
      </c>
      <c r="S57" s="258">
        <f t="shared" si="34"/>
        <v>0</v>
      </c>
      <c r="T57" s="258">
        <f t="shared" si="34"/>
        <v>0</v>
      </c>
      <c r="U57" s="258">
        <f t="shared" si="34"/>
        <v>1530</v>
      </c>
      <c r="V57" s="258">
        <f t="shared" si="34"/>
        <v>0</v>
      </c>
      <c r="W57" s="258">
        <f t="shared" si="34"/>
        <v>0</v>
      </c>
      <c r="X57" s="258">
        <f>X58+X59+X63+X64</f>
        <v>6995396.3200000003</v>
      </c>
      <c r="Y57" s="301"/>
      <c r="Z57" s="288"/>
      <c r="AA57" s="316"/>
      <c r="AB57" s="385"/>
      <c r="AC57" s="316"/>
    </row>
    <row r="58" spans="1:29" s="316" customFormat="1" x14ac:dyDescent="0.2">
      <c r="A58" s="53" t="s">
        <v>26</v>
      </c>
      <c r="B58" s="477">
        <v>804</v>
      </c>
      <c r="C58" s="297" t="s">
        <v>83</v>
      </c>
      <c r="D58" s="169" t="s">
        <v>34</v>
      </c>
      <c r="E58" s="298" t="s">
        <v>23</v>
      </c>
      <c r="F58" s="297" t="s">
        <v>27</v>
      </c>
      <c r="G58" s="297"/>
      <c r="H58" s="165">
        <f>4473514.99+47544.35</f>
        <v>4521059.34</v>
      </c>
      <c r="I58" s="165">
        <f>SUM(J58:M58)</f>
        <v>0</v>
      </c>
      <c r="J58" s="165">
        <v>0</v>
      </c>
      <c r="K58" s="301"/>
      <c r="L58" s="301">
        <v>0</v>
      </c>
      <c r="M58" s="301">
        <v>0</v>
      </c>
      <c r="N58" s="293">
        <f>H58+I58</f>
        <v>4521059.34</v>
      </c>
      <c r="O58" s="165">
        <f>4473514.99+47544.35</f>
        <v>4521059.34</v>
      </c>
      <c r="P58" s="260">
        <v>5179160</v>
      </c>
      <c r="Q58" s="165">
        <f>R58+S58+T58+U58+V58</f>
        <v>0</v>
      </c>
      <c r="R58" s="165">
        <v>0</v>
      </c>
      <c r="S58" s="165">
        <v>0</v>
      </c>
      <c r="T58" s="165"/>
      <c r="U58" s="165">
        <v>0</v>
      </c>
      <c r="V58" s="165"/>
      <c r="W58" s="165"/>
      <c r="X58" s="165">
        <f>P58+Q58</f>
        <v>5179160</v>
      </c>
      <c r="Y58" s="260"/>
      <c r="Z58" s="288"/>
      <c r="AA58" s="288"/>
      <c r="AB58" s="329"/>
    </row>
    <row r="59" spans="1:29" ht="25.5" x14ac:dyDescent="0.2">
      <c r="A59" s="38" t="s">
        <v>627</v>
      </c>
      <c r="B59" s="7">
        <v>804</v>
      </c>
      <c r="C59" s="8" t="s">
        <v>83</v>
      </c>
      <c r="D59" s="30" t="s">
        <v>34</v>
      </c>
      <c r="E59" s="9" t="s">
        <v>282</v>
      </c>
      <c r="F59" s="297" t="s">
        <v>85</v>
      </c>
      <c r="G59" s="297" t="s">
        <v>38</v>
      </c>
      <c r="H59" s="165">
        <f t="shared" ref="H59:N59" si="35">H60+H62</f>
        <v>560200</v>
      </c>
      <c r="I59" s="165">
        <f t="shared" si="35"/>
        <v>-100555.1</v>
      </c>
      <c r="J59" s="165">
        <f t="shared" si="35"/>
        <v>-100555.1</v>
      </c>
      <c r="K59" s="301">
        <f t="shared" si="35"/>
        <v>0</v>
      </c>
      <c r="L59" s="301">
        <f t="shared" si="35"/>
        <v>0</v>
      </c>
      <c r="M59" s="301">
        <f t="shared" si="35"/>
        <v>0</v>
      </c>
      <c r="N59" s="293">
        <f t="shared" si="35"/>
        <v>459644.9</v>
      </c>
      <c r="O59" s="165">
        <f t="shared" ref="O59" si="36">O60+O62</f>
        <v>560200</v>
      </c>
      <c r="P59" s="260"/>
      <c r="Q59" s="260">
        <f>R59+T59+U59+V59</f>
        <v>1530</v>
      </c>
      <c r="R59" s="260">
        <f t="shared" ref="R59:W59" si="37">R60+R62+R61</f>
        <v>0</v>
      </c>
      <c r="S59" s="260">
        <f t="shared" si="37"/>
        <v>0</v>
      </c>
      <c r="T59" s="260">
        <f t="shared" si="37"/>
        <v>0</v>
      </c>
      <c r="U59" s="260">
        <v>1530</v>
      </c>
      <c r="V59" s="260">
        <f t="shared" si="37"/>
        <v>0</v>
      </c>
      <c r="W59" s="260">
        <f t="shared" si="37"/>
        <v>0</v>
      </c>
      <c r="X59" s="165">
        <f t="shared" ref="X59:X62" si="38">P59+Q59</f>
        <v>1530</v>
      </c>
      <c r="Y59" s="301"/>
      <c r="Z59" s="288"/>
      <c r="AA59" s="316"/>
      <c r="AB59" s="389"/>
      <c r="AC59" s="316"/>
    </row>
    <row r="60" spans="1:29" ht="25.5" hidden="1" x14ac:dyDescent="0.2">
      <c r="A60" s="38" t="s">
        <v>627</v>
      </c>
      <c r="B60" s="39"/>
      <c r="C60" s="8"/>
      <c r="D60" s="8"/>
      <c r="E60" s="9" t="s">
        <v>282</v>
      </c>
      <c r="F60" s="297"/>
      <c r="G60" s="297" t="s">
        <v>38</v>
      </c>
      <c r="H60" s="165">
        <v>10200</v>
      </c>
      <c r="I60" s="165">
        <f>SUM(J60:M60)</f>
        <v>0</v>
      </c>
      <c r="J60" s="165"/>
      <c r="K60" s="301"/>
      <c r="L60" s="301"/>
      <c r="M60" s="301"/>
      <c r="N60" s="293">
        <f>H60+I60</f>
        <v>10200</v>
      </c>
      <c r="O60" s="165">
        <v>10200</v>
      </c>
      <c r="P60" s="54">
        <v>0</v>
      </c>
      <c r="Q60" s="165">
        <f>R60+S60+T60+U60+V60</f>
        <v>0</v>
      </c>
      <c r="R60" s="165">
        <v>0</v>
      </c>
      <c r="S60" s="165"/>
      <c r="T60" s="165"/>
      <c r="U60" s="165">
        <v>0</v>
      </c>
      <c r="V60" s="165"/>
      <c r="W60" s="165"/>
      <c r="X60" s="165">
        <f t="shared" si="38"/>
        <v>0</v>
      </c>
      <c r="Y60" s="301"/>
      <c r="Z60" s="288"/>
      <c r="AA60" s="288"/>
      <c r="AB60" s="329"/>
      <c r="AC60" s="316"/>
    </row>
    <row r="61" spans="1:29" hidden="1" x14ac:dyDescent="0.2">
      <c r="A61" s="38"/>
      <c r="B61" s="39"/>
      <c r="C61" s="8"/>
      <c r="D61" s="8"/>
      <c r="E61" s="9"/>
      <c r="F61" s="297" t="s">
        <v>58</v>
      </c>
      <c r="G61" s="355" t="s">
        <v>38</v>
      </c>
      <c r="H61" s="338"/>
      <c r="I61" s="338"/>
      <c r="J61" s="338"/>
      <c r="K61" s="356"/>
      <c r="L61" s="356"/>
      <c r="M61" s="356"/>
      <c r="N61" s="357"/>
      <c r="O61" s="338"/>
      <c r="P61" s="54">
        <v>0</v>
      </c>
      <c r="Q61" s="165"/>
      <c r="R61" s="165"/>
      <c r="S61" s="165"/>
      <c r="T61" s="165"/>
      <c r="U61" s="165"/>
      <c r="V61" s="165"/>
      <c r="W61" s="165"/>
      <c r="X61" s="165">
        <f t="shared" si="38"/>
        <v>0</v>
      </c>
      <c r="Y61" s="301"/>
      <c r="Z61" s="288"/>
      <c r="AA61" s="288"/>
      <c r="AB61" s="329"/>
      <c r="AC61" s="316"/>
    </row>
    <row r="62" spans="1:29" hidden="1" x14ac:dyDescent="0.2">
      <c r="A62" s="40" t="s">
        <v>39</v>
      </c>
      <c r="B62" s="41"/>
      <c r="C62" s="8"/>
      <c r="D62" s="8"/>
      <c r="E62" s="9"/>
      <c r="F62" s="297" t="s">
        <v>558</v>
      </c>
      <c r="G62" s="355" t="s">
        <v>40</v>
      </c>
      <c r="H62" s="338">
        <v>550000</v>
      </c>
      <c r="I62" s="338">
        <f>SUM(J62:M62)</f>
        <v>-100555.1</v>
      </c>
      <c r="J62" s="338">
        <f>-121568.55+21013.45</f>
        <v>-100555.1</v>
      </c>
      <c r="K62" s="356"/>
      <c r="L62" s="356"/>
      <c r="M62" s="356"/>
      <c r="N62" s="357">
        <f>H62+I62</f>
        <v>449444.9</v>
      </c>
      <c r="O62" s="338">
        <v>550000</v>
      </c>
      <c r="P62" s="54">
        <v>0</v>
      </c>
      <c r="Q62" s="165">
        <f>R62+S62+T62+U62+V62</f>
        <v>0</v>
      </c>
      <c r="R62" s="165">
        <v>0</v>
      </c>
      <c r="S62" s="165"/>
      <c r="T62" s="165"/>
      <c r="U62" s="165">
        <v>0</v>
      </c>
      <c r="V62" s="165"/>
      <c r="W62" s="165"/>
      <c r="X62" s="165">
        <f t="shared" si="38"/>
        <v>0</v>
      </c>
      <c r="Y62" s="301"/>
      <c r="Z62" s="288"/>
      <c r="AA62" s="288"/>
      <c r="AB62" s="329"/>
      <c r="AC62" s="316"/>
    </row>
    <row r="63" spans="1:29" s="316" customFormat="1" x14ac:dyDescent="0.2">
      <c r="A63" s="53" t="s">
        <v>28</v>
      </c>
      <c r="B63" s="477">
        <v>804</v>
      </c>
      <c r="C63" s="297" t="s">
        <v>83</v>
      </c>
      <c r="D63" s="169" t="s">
        <v>34</v>
      </c>
      <c r="E63" s="298" t="s">
        <v>29</v>
      </c>
      <c r="F63" s="297" t="s">
        <v>30</v>
      </c>
      <c r="G63" s="297"/>
      <c r="H63" s="165">
        <v>1365359.92</v>
      </c>
      <c r="I63" s="165">
        <f>SUM(J63:M63)</f>
        <v>0</v>
      </c>
      <c r="J63" s="165">
        <v>0</v>
      </c>
      <c r="K63" s="301">
        <v>0</v>
      </c>
      <c r="L63" s="301">
        <v>0</v>
      </c>
      <c r="M63" s="301">
        <v>0</v>
      </c>
      <c r="N63" s="293">
        <f>H63+I63</f>
        <v>1365359.92</v>
      </c>
      <c r="O63" s="165">
        <v>1365359.92</v>
      </c>
      <c r="P63" s="260">
        <v>1564106.32</v>
      </c>
      <c r="Q63" s="165">
        <f>R63+S63+T63+U63+V63</f>
        <v>0</v>
      </c>
      <c r="R63" s="165">
        <v>0</v>
      </c>
      <c r="S63" s="165"/>
      <c r="T63" s="165"/>
      <c r="U63" s="165">
        <v>0</v>
      </c>
      <c r="V63" s="165"/>
      <c r="W63" s="165"/>
      <c r="X63" s="165">
        <f>P63+Q63</f>
        <v>1564106.32</v>
      </c>
      <c r="Y63" s="260"/>
      <c r="Z63" s="288"/>
      <c r="AB63" s="329"/>
    </row>
    <row r="64" spans="1:29" s="316" customFormat="1" x14ac:dyDescent="0.2">
      <c r="A64" s="164" t="s">
        <v>39</v>
      </c>
      <c r="B64" s="477">
        <v>804</v>
      </c>
      <c r="C64" s="297" t="s">
        <v>83</v>
      </c>
      <c r="D64" s="169" t="s">
        <v>34</v>
      </c>
      <c r="E64" s="298" t="s">
        <v>84</v>
      </c>
      <c r="F64" s="297" t="s">
        <v>558</v>
      </c>
      <c r="G64" s="297" t="s">
        <v>40</v>
      </c>
      <c r="H64" s="165"/>
      <c r="I64" s="165"/>
      <c r="J64" s="165"/>
      <c r="K64" s="301"/>
      <c r="L64" s="301"/>
      <c r="M64" s="301"/>
      <c r="N64" s="365"/>
      <c r="O64" s="165"/>
      <c r="P64" s="260">
        <v>280000</v>
      </c>
      <c r="Q64" s="165">
        <f>R64+T64+U64+V64</f>
        <v>-29400</v>
      </c>
      <c r="R64" s="165">
        <f>-29400</f>
        <v>-29400</v>
      </c>
      <c r="S64" s="165"/>
      <c r="T64" s="165"/>
      <c r="U64" s="165"/>
      <c r="V64" s="165"/>
      <c r="W64" s="165"/>
      <c r="X64" s="165">
        <f>P64+Q64</f>
        <v>250600</v>
      </c>
      <c r="Y64" s="301"/>
      <c r="Z64" s="288"/>
      <c r="AB64" s="329"/>
    </row>
    <row r="65" spans="1:29" s="316" customFormat="1" x14ac:dyDescent="0.2">
      <c r="A65" s="121" t="s">
        <v>41</v>
      </c>
      <c r="B65" s="458">
        <v>804</v>
      </c>
      <c r="C65" s="89" t="s">
        <v>83</v>
      </c>
      <c r="D65" s="57" t="s">
        <v>34</v>
      </c>
      <c r="E65" s="123" t="s">
        <v>19</v>
      </c>
      <c r="F65" s="89" t="s">
        <v>42</v>
      </c>
      <c r="G65" s="89"/>
      <c r="H65" s="124">
        <f t="shared" ref="H65:N65" si="39">H66+H68+H71+H76+H81+H67</f>
        <v>9173256.0500000007</v>
      </c>
      <c r="I65" s="124">
        <f t="shared" si="39"/>
        <v>740538.62</v>
      </c>
      <c r="J65" s="124">
        <f t="shared" si="39"/>
        <v>10331.839999999997</v>
      </c>
      <c r="K65" s="359">
        <f t="shared" si="39"/>
        <v>0</v>
      </c>
      <c r="L65" s="359">
        <f t="shared" si="39"/>
        <v>0</v>
      </c>
      <c r="M65" s="359">
        <f t="shared" si="39"/>
        <v>730206.78</v>
      </c>
      <c r="N65" s="359">
        <f t="shared" si="39"/>
        <v>9893794.6699999999</v>
      </c>
      <c r="O65" s="124">
        <f>O66+O68+O71+O76+O81+O67</f>
        <v>8540402.6720000021</v>
      </c>
      <c r="P65" s="258">
        <f>P66+P68+P71+P76+P81+P67</f>
        <v>2122674.54</v>
      </c>
      <c r="Q65" s="258">
        <f t="shared" ref="Q65:W65" si="40">Q66+Q68+Q71+Q76+Q81+Q67</f>
        <v>1325319.17</v>
      </c>
      <c r="R65" s="258">
        <f t="shared" si="40"/>
        <v>997654.46</v>
      </c>
      <c r="S65" s="258">
        <f t="shared" si="40"/>
        <v>0</v>
      </c>
      <c r="T65" s="258">
        <f t="shared" si="40"/>
        <v>0</v>
      </c>
      <c r="U65" s="258">
        <f>U66+U68+U71+U76+U81+U67</f>
        <v>327664.70999999996</v>
      </c>
      <c r="V65" s="258">
        <f t="shared" si="40"/>
        <v>0</v>
      </c>
      <c r="W65" s="258">
        <f t="shared" si="40"/>
        <v>0</v>
      </c>
      <c r="X65" s="258">
        <f>X66+X68+X71+X76+X81+X67</f>
        <v>3447993.71</v>
      </c>
      <c r="Y65" s="301"/>
      <c r="Z65" s="288"/>
      <c r="AB65" s="385"/>
    </row>
    <row r="66" spans="1:29" ht="12.75" customHeight="1" x14ac:dyDescent="0.2">
      <c r="A66" s="6" t="s">
        <v>86</v>
      </c>
      <c r="B66" s="7">
        <v>804</v>
      </c>
      <c r="C66" s="8" t="s">
        <v>83</v>
      </c>
      <c r="D66" s="30" t="s">
        <v>34</v>
      </c>
      <c r="E66" s="9" t="s">
        <v>44</v>
      </c>
      <c r="F66" s="8" t="s">
        <v>45</v>
      </c>
      <c r="G66" s="8"/>
      <c r="H66" s="31">
        <v>650000</v>
      </c>
      <c r="I66" s="31">
        <f>SUM(J66:M66)</f>
        <v>166000</v>
      </c>
      <c r="J66" s="31">
        <v>0</v>
      </c>
      <c r="K66" s="32">
        <v>0</v>
      </c>
      <c r="L66" s="32">
        <v>0</v>
      </c>
      <c r="M66" s="32">
        <v>166000</v>
      </c>
      <c r="N66" s="33">
        <f>H66+I66</f>
        <v>816000</v>
      </c>
      <c r="O66" s="31">
        <f>650000*80%</f>
        <v>520000</v>
      </c>
      <c r="P66" s="54">
        <v>186000</v>
      </c>
      <c r="Q66" s="165">
        <f>R66+S66+T66+U66+V66</f>
        <v>0</v>
      </c>
      <c r="R66" s="165">
        <v>0</v>
      </c>
      <c r="S66" s="165"/>
      <c r="T66" s="165"/>
      <c r="U66" s="165">
        <v>0</v>
      </c>
      <c r="V66" s="165"/>
      <c r="W66" s="165"/>
      <c r="X66" s="165">
        <f>Q66+P66</f>
        <v>186000</v>
      </c>
      <c r="Y66" s="301" t="s">
        <v>594</v>
      </c>
      <c r="Z66" s="288"/>
      <c r="AA66" s="288"/>
      <c r="AB66" s="329"/>
      <c r="AC66" s="316"/>
    </row>
    <row r="67" spans="1:29" ht="12.75" customHeight="1" x14ac:dyDescent="0.2">
      <c r="A67" s="6" t="s">
        <v>86</v>
      </c>
      <c r="B67" s="7">
        <v>804</v>
      </c>
      <c r="C67" s="8" t="s">
        <v>83</v>
      </c>
      <c r="D67" s="30" t="s">
        <v>34</v>
      </c>
      <c r="E67" s="9" t="s">
        <v>46</v>
      </c>
      <c r="F67" s="8" t="s">
        <v>45</v>
      </c>
      <c r="G67" s="8"/>
      <c r="H67" s="31">
        <v>10000</v>
      </c>
      <c r="I67" s="31">
        <f>SUM(J67:M67)</f>
        <v>0</v>
      </c>
      <c r="J67" s="31"/>
      <c r="K67" s="32"/>
      <c r="L67" s="32"/>
      <c r="M67" s="32"/>
      <c r="N67" s="33">
        <f>H67+I67</f>
        <v>10000</v>
      </c>
      <c r="O67" s="31">
        <f>10000*80%</f>
        <v>8000</v>
      </c>
      <c r="P67" s="54">
        <v>16250</v>
      </c>
      <c r="Q67" s="165">
        <f>R67+S67+T67+U67+V67</f>
        <v>0</v>
      </c>
      <c r="R67" s="165">
        <v>0</v>
      </c>
      <c r="S67" s="165"/>
      <c r="T67" s="165"/>
      <c r="U67" s="165"/>
      <c r="V67" s="165"/>
      <c r="W67" s="165"/>
      <c r="X67" s="165">
        <f>P67+Q67</f>
        <v>16250</v>
      </c>
      <c r="Y67" s="301" t="s">
        <v>595</v>
      </c>
      <c r="Z67" s="288"/>
      <c r="AA67" s="316"/>
      <c r="AB67" s="329"/>
      <c r="AC67" s="316"/>
    </row>
    <row r="68" spans="1:29" hidden="1" x14ac:dyDescent="0.2">
      <c r="A68" s="6" t="s">
        <v>47</v>
      </c>
      <c r="B68" s="7">
        <v>804</v>
      </c>
      <c r="C68" s="8" t="s">
        <v>83</v>
      </c>
      <c r="D68" s="30" t="s">
        <v>34</v>
      </c>
      <c r="E68" s="9" t="s">
        <v>19</v>
      </c>
      <c r="F68" s="8" t="s">
        <v>48</v>
      </c>
      <c r="G68" s="8"/>
      <c r="H68" s="31">
        <f t="shared" ref="H68:N68" si="41">H69+H70</f>
        <v>1847258.85</v>
      </c>
      <c r="I68" s="31">
        <f t="shared" si="41"/>
        <v>7010</v>
      </c>
      <c r="J68" s="31">
        <f t="shared" si="41"/>
        <v>7010</v>
      </c>
      <c r="K68" s="32">
        <f t="shared" si="41"/>
        <v>0</v>
      </c>
      <c r="L68" s="32">
        <f t="shared" si="41"/>
        <v>0</v>
      </c>
      <c r="M68" s="32">
        <f t="shared" si="41"/>
        <v>0</v>
      </c>
      <c r="N68" s="33">
        <f t="shared" si="41"/>
        <v>1854268.85</v>
      </c>
      <c r="O68" s="31">
        <f>O69+O70</f>
        <v>1477807.08</v>
      </c>
      <c r="P68" s="54">
        <f>P69+P70</f>
        <v>0</v>
      </c>
      <c r="Q68" s="165"/>
      <c r="R68" s="165"/>
      <c r="S68" s="165"/>
      <c r="T68" s="165"/>
      <c r="U68" s="165"/>
      <c r="V68" s="165"/>
      <c r="W68" s="165"/>
      <c r="X68" s="165"/>
      <c r="Y68" s="301"/>
      <c r="Z68" s="288"/>
      <c r="AA68" s="316"/>
      <c r="AB68" s="329"/>
      <c r="AC68" s="316"/>
    </row>
    <row r="69" spans="1:29" hidden="1" x14ac:dyDescent="0.2">
      <c r="A69" s="38" t="s">
        <v>37</v>
      </c>
      <c r="B69" s="39"/>
      <c r="C69" s="8"/>
      <c r="D69" s="8"/>
      <c r="E69" s="9" t="s">
        <v>84</v>
      </c>
      <c r="F69" s="8"/>
      <c r="G69" s="8" t="s">
        <v>38</v>
      </c>
      <c r="H69" s="31">
        <v>150000</v>
      </c>
      <c r="I69" s="31">
        <f>SUM(J69:M69)</f>
        <v>0</v>
      </c>
      <c r="J69" s="31"/>
      <c r="K69" s="32"/>
      <c r="L69" s="32"/>
      <c r="M69" s="32"/>
      <c r="N69" s="33">
        <f>H69+I69</f>
        <v>150000</v>
      </c>
      <c r="O69" s="31">
        <f>150000*80%</f>
        <v>120000</v>
      </c>
      <c r="P69" s="54">
        <v>0</v>
      </c>
      <c r="Q69" s="165"/>
      <c r="R69" s="165"/>
      <c r="S69" s="165"/>
      <c r="T69" s="165"/>
      <c r="U69" s="165"/>
      <c r="V69" s="165"/>
      <c r="W69" s="165"/>
      <c r="X69" s="165"/>
      <c r="Y69" s="301"/>
      <c r="Z69" s="288"/>
      <c r="AA69" s="316"/>
      <c r="AB69" s="329"/>
      <c r="AC69" s="316"/>
    </row>
    <row r="70" spans="1:29" ht="21.75" hidden="1" customHeight="1" x14ac:dyDescent="0.2">
      <c r="A70" s="6" t="s">
        <v>47</v>
      </c>
      <c r="B70" s="7"/>
      <c r="C70" s="8"/>
      <c r="D70" s="30"/>
      <c r="E70" s="9" t="s">
        <v>46</v>
      </c>
      <c r="F70" s="8"/>
      <c r="G70" s="8" t="s">
        <v>49</v>
      </c>
      <c r="H70" s="54">
        <f>1616437*1.05</f>
        <v>1697258.85</v>
      </c>
      <c r="I70" s="31">
        <f>SUM(J70:M70)</f>
        <v>7010</v>
      </c>
      <c r="J70" s="54">
        <v>7010</v>
      </c>
      <c r="K70" s="54">
        <v>0</v>
      </c>
      <c r="L70" s="54">
        <v>0</v>
      </c>
      <c r="M70" s="54">
        <v>0</v>
      </c>
      <c r="N70" s="33">
        <f>H70+I70</f>
        <v>1704268.85</v>
      </c>
      <c r="O70" s="54">
        <f>(1616437*1.05)*80%</f>
        <v>1357807.08</v>
      </c>
      <c r="P70" s="54">
        <v>0</v>
      </c>
      <c r="Q70" s="260"/>
      <c r="R70" s="260"/>
      <c r="S70" s="260"/>
      <c r="T70" s="260"/>
      <c r="U70" s="260"/>
      <c r="V70" s="260"/>
      <c r="W70" s="260"/>
      <c r="X70" s="165"/>
      <c r="Y70" s="301"/>
      <c r="Z70" s="288"/>
      <c r="AA70" s="316"/>
      <c r="AB70" s="389"/>
      <c r="AC70" s="316"/>
    </row>
    <row r="71" spans="1:29" x14ac:dyDescent="0.2">
      <c r="A71" s="6" t="s">
        <v>87</v>
      </c>
      <c r="B71" s="7">
        <v>804</v>
      </c>
      <c r="C71" s="8" t="s">
        <v>83</v>
      </c>
      <c r="D71" s="30" t="s">
        <v>34</v>
      </c>
      <c r="E71" s="9" t="s">
        <v>46</v>
      </c>
      <c r="F71" s="8" t="s">
        <v>88</v>
      </c>
      <c r="G71" s="8"/>
      <c r="H71" s="31">
        <f t="shared" ref="H71:N71" si="42">SUM(H72:H75)</f>
        <v>6008989.1600000011</v>
      </c>
      <c r="I71" s="31">
        <f t="shared" si="42"/>
        <v>446528.62</v>
      </c>
      <c r="J71" s="31">
        <f t="shared" si="42"/>
        <v>8321.8399999999965</v>
      </c>
      <c r="K71" s="31">
        <f t="shared" si="42"/>
        <v>0</v>
      </c>
      <c r="L71" s="31">
        <f t="shared" si="42"/>
        <v>0</v>
      </c>
      <c r="M71" s="31">
        <f t="shared" si="42"/>
        <v>438206.78</v>
      </c>
      <c r="N71" s="31">
        <f t="shared" si="42"/>
        <v>6455517.7800000012</v>
      </c>
      <c r="O71" s="31">
        <f>SUM(O72:O75)</f>
        <v>6008989.1600000011</v>
      </c>
      <c r="P71" s="54">
        <f>SUM(P72:P75)</f>
        <v>1817034.44</v>
      </c>
      <c r="Q71" s="260">
        <f t="shared" ref="Q71:X71" si="43">SUM(Q72:Q75)</f>
        <v>1108564.06</v>
      </c>
      <c r="R71" s="260">
        <f t="shared" si="43"/>
        <v>968254.46</v>
      </c>
      <c r="S71" s="260">
        <f t="shared" si="43"/>
        <v>0</v>
      </c>
      <c r="T71" s="260">
        <f t="shared" si="43"/>
        <v>0</v>
      </c>
      <c r="U71" s="260">
        <f t="shared" si="43"/>
        <v>140309.6</v>
      </c>
      <c r="V71" s="260">
        <f t="shared" si="43"/>
        <v>0</v>
      </c>
      <c r="W71" s="260">
        <f t="shared" si="43"/>
        <v>0</v>
      </c>
      <c r="X71" s="260">
        <f t="shared" si="43"/>
        <v>2925598.5</v>
      </c>
      <c r="Y71" s="301"/>
      <c r="Z71" s="288"/>
      <c r="AA71" s="316"/>
      <c r="AB71" s="389"/>
      <c r="AC71" s="316"/>
    </row>
    <row r="72" spans="1:29" x14ac:dyDescent="0.2">
      <c r="A72" s="40" t="s">
        <v>89</v>
      </c>
      <c r="B72" s="41"/>
      <c r="C72" s="8"/>
      <c r="D72" s="30"/>
      <c r="E72" s="9"/>
      <c r="F72" s="8"/>
      <c r="G72" s="8" t="s">
        <v>90</v>
      </c>
      <c r="H72" s="31">
        <v>5728667.9400000004</v>
      </c>
      <c r="I72" s="31">
        <f>SUM(J72:M72)</f>
        <v>526528.62</v>
      </c>
      <c r="J72" s="31">
        <f>80000+8321.84</f>
        <v>88321.84</v>
      </c>
      <c r="K72" s="32">
        <v>0</v>
      </c>
      <c r="L72" s="32">
        <v>0</v>
      </c>
      <c r="M72" s="32">
        <f>88206.78+350000</f>
        <v>438206.78</v>
      </c>
      <c r="N72" s="33">
        <f>H72+I72</f>
        <v>6255196.5600000005</v>
      </c>
      <c r="O72" s="31">
        <v>5728667.9400000004</v>
      </c>
      <c r="P72" s="54">
        <v>1601655.23</v>
      </c>
      <c r="Q72" s="165">
        <f>R72+S72+T72+U72+V72</f>
        <v>1108564.06</v>
      </c>
      <c r="R72" s="165">
        <f>16482.33+951772.13</f>
        <v>968254.46</v>
      </c>
      <c r="S72" s="165">
        <v>0</v>
      </c>
      <c r="T72" s="165"/>
      <c r="U72" s="165">
        <v>140309.6</v>
      </c>
      <c r="V72" s="165"/>
      <c r="W72" s="165"/>
      <c r="X72" s="165">
        <f>P72+Q72</f>
        <v>2710219.29</v>
      </c>
      <c r="Y72" s="301"/>
      <c r="Z72" s="288"/>
      <c r="AA72" s="288"/>
      <c r="AB72" s="329"/>
      <c r="AC72" s="316"/>
    </row>
    <row r="73" spans="1:29" ht="15.75" customHeight="1" x14ac:dyDescent="0.2">
      <c r="A73" s="40" t="s">
        <v>91</v>
      </c>
      <c r="B73" s="41"/>
      <c r="C73" s="8"/>
      <c r="D73" s="30"/>
      <c r="E73" s="9"/>
      <c r="F73" s="8"/>
      <c r="G73" s="8" t="s">
        <v>92</v>
      </c>
      <c r="H73" s="31">
        <v>248314.61</v>
      </c>
      <c r="I73" s="31">
        <f>SUM(J73:M73)</f>
        <v>-80000</v>
      </c>
      <c r="J73" s="31">
        <f>-80000</f>
        <v>-80000</v>
      </c>
      <c r="K73" s="32"/>
      <c r="L73" s="32"/>
      <c r="M73" s="32">
        <v>0</v>
      </c>
      <c r="N73" s="33">
        <f>H73+I73</f>
        <v>168314.61</v>
      </c>
      <c r="O73" s="31">
        <v>248314.61</v>
      </c>
      <c r="P73" s="54">
        <v>181181.53</v>
      </c>
      <c r="Q73" s="165">
        <f>R73+S73+T73+U73+V73</f>
        <v>0</v>
      </c>
      <c r="R73" s="165"/>
      <c r="S73" s="165"/>
      <c r="T73" s="165"/>
      <c r="U73" s="165"/>
      <c r="V73" s="165"/>
      <c r="W73" s="165"/>
      <c r="X73" s="165">
        <f>P73+Q73</f>
        <v>181181.53</v>
      </c>
      <c r="Y73" s="301"/>
      <c r="Z73" s="288"/>
      <c r="AA73" s="316"/>
      <c r="AB73" s="329"/>
      <c r="AC73" s="316"/>
    </row>
    <row r="74" spans="1:29" ht="27.75" customHeight="1" x14ac:dyDescent="0.2">
      <c r="A74" s="40" t="s">
        <v>93</v>
      </c>
      <c r="B74" s="41"/>
      <c r="C74" s="8"/>
      <c r="D74" s="30"/>
      <c r="E74" s="9"/>
      <c r="F74" s="8"/>
      <c r="G74" s="8" t="s">
        <v>94</v>
      </c>
      <c r="H74" s="31">
        <f>6661.28+18066.37</f>
        <v>24727.649999999998</v>
      </c>
      <c r="I74" s="31">
        <f>SUM(J74:M74)</f>
        <v>0</v>
      </c>
      <c r="J74" s="31"/>
      <c r="K74" s="32"/>
      <c r="L74" s="32"/>
      <c r="M74" s="32"/>
      <c r="N74" s="33">
        <f>H74+I74</f>
        <v>24727.649999999998</v>
      </c>
      <c r="O74" s="31">
        <f>6661.28+18066.37</f>
        <v>24727.649999999998</v>
      </c>
      <c r="P74" s="54">
        <v>23789.74</v>
      </c>
      <c r="Q74" s="165">
        <f>R74+S74+T74+U74+V74</f>
        <v>0</v>
      </c>
      <c r="R74" s="165">
        <v>0</v>
      </c>
      <c r="S74" s="165">
        <v>0</v>
      </c>
      <c r="T74" s="165"/>
      <c r="U74" s="165"/>
      <c r="V74" s="165"/>
      <c r="W74" s="165"/>
      <c r="X74" s="165">
        <f>P74+Q74</f>
        <v>23789.74</v>
      </c>
      <c r="Y74" s="301"/>
      <c r="Z74" s="288"/>
      <c r="AA74" s="316"/>
      <c r="AB74" s="329"/>
      <c r="AC74" s="316"/>
    </row>
    <row r="75" spans="1:29" ht="14.25" customHeight="1" x14ac:dyDescent="0.2">
      <c r="A75" s="40" t="s">
        <v>95</v>
      </c>
      <c r="B75" s="41"/>
      <c r="C75" s="8"/>
      <c r="D75" s="30"/>
      <c r="E75" s="9"/>
      <c r="F75" s="8"/>
      <c r="G75" s="8" t="s">
        <v>96</v>
      </c>
      <c r="H75" s="31">
        <v>7278.96</v>
      </c>
      <c r="I75" s="31">
        <f>SUM(J75:M75)</f>
        <v>0</v>
      </c>
      <c r="J75" s="31"/>
      <c r="K75" s="32"/>
      <c r="L75" s="32"/>
      <c r="M75" s="32"/>
      <c r="N75" s="33">
        <f>H75+I75</f>
        <v>7278.96</v>
      </c>
      <c r="O75" s="31">
        <v>7278.96</v>
      </c>
      <c r="P75" s="54">
        <v>10407.94</v>
      </c>
      <c r="Q75" s="165">
        <f>R75+S75+T75+U75+V75</f>
        <v>0</v>
      </c>
      <c r="R75" s="165">
        <v>0</v>
      </c>
      <c r="S75" s="165">
        <v>0</v>
      </c>
      <c r="T75" s="165"/>
      <c r="U75" s="165"/>
      <c r="V75" s="165"/>
      <c r="W75" s="165"/>
      <c r="X75" s="165">
        <f>P75+Q75</f>
        <v>10407.94</v>
      </c>
      <c r="Y75" s="301"/>
      <c r="Z75" s="288"/>
      <c r="AA75" s="316"/>
      <c r="AB75" s="329"/>
      <c r="AC75" s="316"/>
    </row>
    <row r="76" spans="1:29" ht="12.75" customHeight="1" x14ac:dyDescent="0.2">
      <c r="A76" s="6" t="s">
        <v>50</v>
      </c>
      <c r="B76" s="7">
        <v>804</v>
      </c>
      <c r="C76" s="8" t="s">
        <v>83</v>
      </c>
      <c r="D76" s="30" t="s">
        <v>34</v>
      </c>
      <c r="E76" s="9" t="s">
        <v>19</v>
      </c>
      <c r="F76" s="8" t="s">
        <v>51</v>
      </c>
      <c r="G76" s="8"/>
      <c r="H76" s="31">
        <f>H77+H78+H79+H80</f>
        <v>281008.03999999998</v>
      </c>
      <c r="I76" s="31">
        <f t="shared" ref="I76:N76" si="44">I77+I78+I79+I80</f>
        <v>110000</v>
      </c>
      <c r="J76" s="31">
        <f t="shared" si="44"/>
        <v>0</v>
      </c>
      <c r="K76" s="32">
        <f t="shared" si="44"/>
        <v>0</v>
      </c>
      <c r="L76" s="32">
        <f t="shared" si="44"/>
        <v>0</v>
      </c>
      <c r="M76" s="32">
        <f t="shared" si="44"/>
        <v>110000</v>
      </c>
      <c r="N76" s="33">
        <f t="shared" si="44"/>
        <v>391008.04</v>
      </c>
      <c r="O76" s="31">
        <f>O77+O78+O79+O80</f>
        <v>224806.432</v>
      </c>
      <c r="P76" s="54">
        <f>P77+P78+P79+P80</f>
        <v>8280</v>
      </c>
      <c r="Q76" s="260">
        <f t="shared" ref="Q76:X76" si="45">Q77+Q78+Q79+Q80</f>
        <v>14130</v>
      </c>
      <c r="R76" s="260">
        <f t="shared" si="45"/>
        <v>0</v>
      </c>
      <c r="S76" s="260">
        <f t="shared" si="45"/>
        <v>0</v>
      </c>
      <c r="T76" s="260">
        <f t="shared" si="45"/>
        <v>0</v>
      </c>
      <c r="U76" s="260">
        <f t="shared" si="45"/>
        <v>14130</v>
      </c>
      <c r="V76" s="260">
        <f t="shared" si="45"/>
        <v>0</v>
      </c>
      <c r="W76" s="260">
        <f t="shared" si="45"/>
        <v>0</v>
      </c>
      <c r="X76" s="260">
        <f t="shared" si="45"/>
        <v>22410</v>
      </c>
      <c r="Y76" s="301"/>
      <c r="Z76" s="288"/>
      <c r="AA76" s="316"/>
      <c r="AB76" s="389"/>
      <c r="AC76" s="316"/>
    </row>
    <row r="77" spans="1:29" ht="12.75" hidden="1" customHeight="1" x14ac:dyDescent="0.2">
      <c r="A77" s="6" t="s">
        <v>97</v>
      </c>
      <c r="B77" s="7"/>
      <c r="C77" s="8"/>
      <c r="D77" s="30"/>
      <c r="E77" s="9"/>
      <c r="F77" s="8"/>
      <c r="G77" s="8" t="s">
        <v>56</v>
      </c>
      <c r="H77" s="31">
        <v>0</v>
      </c>
      <c r="I77" s="31">
        <f>SUM(J77:M77)</f>
        <v>0</v>
      </c>
      <c r="J77" s="31">
        <v>0</v>
      </c>
      <c r="K77" s="32">
        <v>0</v>
      </c>
      <c r="L77" s="32">
        <v>0</v>
      </c>
      <c r="M77" s="32">
        <v>0</v>
      </c>
      <c r="N77" s="33">
        <f>H77+I77</f>
        <v>0</v>
      </c>
      <c r="O77" s="31">
        <v>0</v>
      </c>
      <c r="P77" s="54">
        <v>0</v>
      </c>
      <c r="Q77" s="165"/>
      <c r="R77" s="165"/>
      <c r="S77" s="165"/>
      <c r="T77" s="165"/>
      <c r="U77" s="165"/>
      <c r="V77" s="165"/>
      <c r="W77" s="165"/>
      <c r="X77" s="165"/>
      <c r="Y77" s="301"/>
      <c r="Z77" s="288"/>
      <c r="AA77" s="316"/>
      <c r="AB77" s="329"/>
      <c r="AC77" s="316"/>
    </row>
    <row r="78" spans="1:29" ht="12.75" hidden="1" customHeight="1" x14ac:dyDescent="0.2">
      <c r="A78" s="6" t="s">
        <v>98</v>
      </c>
      <c r="B78" s="7"/>
      <c r="C78" s="8"/>
      <c r="D78" s="30"/>
      <c r="E78" s="9"/>
      <c r="F78" s="8"/>
      <c r="G78" s="8" t="s">
        <v>99</v>
      </c>
      <c r="H78" s="31">
        <v>0</v>
      </c>
      <c r="I78" s="31">
        <f>SUM(J78:M78)</f>
        <v>0</v>
      </c>
      <c r="J78" s="31">
        <v>0</v>
      </c>
      <c r="K78" s="32">
        <v>0</v>
      </c>
      <c r="L78" s="32">
        <v>0</v>
      </c>
      <c r="M78" s="32">
        <v>0</v>
      </c>
      <c r="N78" s="33">
        <f>H78+I78</f>
        <v>0</v>
      </c>
      <c r="O78" s="31">
        <v>0</v>
      </c>
      <c r="P78" s="54">
        <v>0</v>
      </c>
      <c r="Q78" s="165"/>
      <c r="R78" s="165"/>
      <c r="S78" s="165"/>
      <c r="T78" s="165"/>
      <c r="U78" s="165"/>
      <c r="V78" s="165"/>
      <c r="W78" s="165"/>
      <c r="X78" s="165"/>
      <c r="Y78" s="301"/>
      <c r="Z78" s="288"/>
      <c r="AA78" s="316"/>
      <c r="AB78" s="329"/>
      <c r="AC78" s="316"/>
    </row>
    <row r="79" spans="1:29" hidden="1" x14ac:dyDescent="0.2">
      <c r="A79" s="40" t="s">
        <v>52</v>
      </c>
      <c r="B79" s="41"/>
      <c r="C79" s="8"/>
      <c r="D79" s="30"/>
      <c r="E79" s="9"/>
      <c r="F79" s="8"/>
      <c r="G79" s="8" t="s">
        <v>53</v>
      </c>
      <c r="H79" s="31">
        <v>0</v>
      </c>
      <c r="I79" s="31">
        <f>SUM(J79:M79)</f>
        <v>0</v>
      </c>
      <c r="J79" s="31">
        <v>0</v>
      </c>
      <c r="K79" s="32">
        <v>0</v>
      </c>
      <c r="L79" s="32">
        <v>0</v>
      </c>
      <c r="M79" s="32">
        <v>0</v>
      </c>
      <c r="N79" s="33">
        <f>H79+I79</f>
        <v>0</v>
      </c>
      <c r="O79" s="31">
        <v>0</v>
      </c>
      <c r="P79" s="54">
        <v>0</v>
      </c>
      <c r="Q79" s="165"/>
      <c r="R79" s="165"/>
      <c r="S79" s="165"/>
      <c r="T79" s="165"/>
      <c r="U79" s="165"/>
      <c r="V79" s="165"/>
      <c r="W79" s="165"/>
      <c r="X79" s="165"/>
      <c r="Y79" s="301"/>
      <c r="Z79" s="288"/>
      <c r="AA79" s="316"/>
      <c r="AB79" s="329"/>
      <c r="AC79" s="316"/>
    </row>
    <row r="80" spans="1:29" s="316" customFormat="1" ht="25.5" x14ac:dyDescent="0.2">
      <c r="A80" s="164" t="s">
        <v>100</v>
      </c>
      <c r="B80" s="344"/>
      <c r="C80" s="297"/>
      <c r="D80" s="169"/>
      <c r="E80" s="298" t="s">
        <v>44</v>
      </c>
      <c r="F80" s="297"/>
      <c r="G80" s="297" t="s">
        <v>101</v>
      </c>
      <c r="H80" s="165">
        <v>281008.03999999998</v>
      </c>
      <c r="I80" s="165">
        <f>SUM(J80:M80)</f>
        <v>110000</v>
      </c>
      <c r="J80" s="165">
        <v>0</v>
      </c>
      <c r="K80" s="301">
        <v>0</v>
      </c>
      <c r="L80" s="301">
        <v>0</v>
      </c>
      <c r="M80" s="301">
        <v>110000</v>
      </c>
      <c r="N80" s="293">
        <f>H80+I80</f>
        <v>391008.04</v>
      </c>
      <c r="O80" s="165">
        <f>281008.04*80%</f>
        <v>224806.432</v>
      </c>
      <c r="P80" s="260">
        <v>8280</v>
      </c>
      <c r="Q80" s="165">
        <f>R80+S80+T80+U80+V80</f>
        <v>14130</v>
      </c>
      <c r="R80" s="165">
        <v>0</v>
      </c>
      <c r="S80" s="165"/>
      <c r="T80" s="165"/>
      <c r="U80" s="165">
        <v>14130</v>
      </c>
      <c r="V80" s="165"/>
      <c r="W80" s="165"/>
      <c r="X80" s="165">
        <f>P80+Q80</f>
        <v>22410</v>
      </c>
      <c r="Y80" s="301" t="s">
        <v>595</v>
      </c>
      <c r="Z80" s="288"/>
      <c r="AB80" s="329"/>
    </row>
    <row r="81" spans="1:30" s="331" customFormat="1" ht="12.75" customHeight="1" x14ac:dyDescent="0.2">
      <c r="A81" s="330" t="s">
        <v>57</v>
      </c>
      <c r="B81" s="480">
        <v>804</v>
      </c>
      <c r="C81" s="372" t="s">
        <v>83</v>
      </c>
      <c r="D81" s="311" t="s">
        <v>18</v>
      </c>
      <c r="E81" s="481" t="s">
        <v>19</v>
      </c>
      <c r="F81" s="372" t="s">
        <v>58</v>
      </c>
      <c r="G81" s="372"/>
      <c r="H81" s="165">
        <f>SUM(H82:H91)</f>
        <v>376000</v>
      </c>
      <c r="I81" s="165">
        <f t="shared" ref="I81:N81" si="46">SUM(I82:I91)</f>
        <v>11000</v>
      </c>
      <c r="J81" s="165">
        <f t="shared" si="46"/>
        <v>-5000</v>
      </c>
      <c r="K81" s="165">
        <f t="shared" si="46"/>
        <v>0</v>
      </c>
      <c r="L81" s="165">
        <f t="shared" si="46"/>
        <v>0</v>
      </c>
      <c r="M81" s="165">
        <f t="shared" si="46"/>
        <v>16000</v>
      </c>
      <c r="N81" s="165">
        <f t="shared" si="46"/>
        <v>367000</v>
      </c>
      <c r="O81" s="165">
        <f t="shared" ref="O81" si="47">SUM(O82:O91)</f>
        <v>300800</v>
      </c>
      <c r="P81" s="260">
        <f>P84+P87+P88+P90</f>
        <v>95110.1</v>
      </c>
      <c r="Q81" s="260">
        <f>V81+U81+T81+R81</f>
        <v>202625.11</v>
      </c>
      <c r="R81" s="260">
        <f>R84+R87+R88+R90</f>
        <v>29400</v>
      </c>
      <c r="S81" s="260">
        <f t="shared" ref="S81:W81" si="48">SUM(S82:S91)</f>
        <v>0</v>
      </c>
      <c r="T81" s="260">
        <f t="shared" si="48"/>
        <v>0</v>
      </c>
      <c r="U81" s="260">
        <f>SUM(U82:U91)</f>
        <v>173225.11</v>
      </c>
      <c r="V81" s="260">
        <f t="shared" si="48"/>
        <v>0</v>
      </c>
      <c r="W81" s="260">
        <f t="shared" si="48"/>
        <v>0</v>
      </c>
      <c r="X81" s="260">
        <f>SUM(X82:X91)</f>
        <v>297735.21000000002</v>
      </c>
      <c r="Y81" s="165"/>
      <c r="Z81" s="329"/>
      <c r="AB81" s="389"/>
    </row>
    <row r="82" spans="1:30" s="316" customFormat="1" ht="45" hidden="1" customHeight="1" x14ac:dyDescent="0.2">
      <c r="A82" s="148" t="s">
        <v>102</v>
      </c>
      <c r="B82" s="477"/>
      <c r="C82" s="297"/>
      <c r="D82" s="169"/>
      <c r="E82" s="298" t="s">
        <v>84</v>
      </c>
      <c r="F82" s="297"/>
      <c r="G82" s="297" t="s">
        <v>38</v>
      </c>
      <c r="H82" s="165">
        <v>120000</v>
      </c>
      <c r="I82" s="165">
        <f t="shared" ref="I82:I91" si="49">SUM(J82:M82)</f>
        <v>7970</v>
      </c>
      <c r="J82" s="165">
        <v>7970</v>
      </c>
      <c r="K82" s="301"/>
      <c r="L82" s="301"/>
      <c r="M82" s="301"/>
      <c r="N82" s="293">
        <f t="shared" ref="N82:N91" si="50">H82+I82</f>
        <v>127970</v>
      </c>
      <c r="O82" s="165">
        <f>120000*80%</f>
        <v>96000</v>
      </c>
      <c r="P82" s="260">
        <v>0</v>
      </c>
      <c r="Q82" s="165"/>
      <c r="R82" s="165"/>
      <c r="S82" s="165"/>
      <c r="T82" s="165"/>
      <c r="U82" s="165"/>
      <c r="V82" s="165"/>
      <c r="W82" s="165"/>
      <c r="X82" s="165"/>
      <c r="Y82" s="301"/>
      <c r="Z82" s="288"/>
      <c r="AB82" s="329"/>
    </row>
    <row r="83" spans="1:30" s="316" customFormat="1" ht="38.25" hidden="1" customHeight="1" x14ac:dyDescent="0.2">
      <c r="A83" s="148" t="s">
        <v>102</v>
      </c>
      <c r="B83" s="336"/>
      <c r="C83" s="297"/>
      <c r="D83" s="169"/>
      <c r="E83" s="298" t="s">
        <v>46</v>
      </c>
      <c r="F83" s="297"/>
      <c r="G83" s="297" t="s">
        <v>38</v>
      </c>
      <c r="H83" s="165"/>
      <c r="I83" s="165">
        <f t="shared" si="49"/>
        <v>-7970</v>
      </c>
      <c r="J83" s="165">
        <v>-7970</v>
      </c>
      <c r="K83" s="301"/>
      <c r="L83" s="301"/>
      <c r="M83" s="301"/>
      <c r="N83" s="293">
        <f t="shared" si="50"/>
        <v>-7970</v>
      </c>
      <c r="O83" s="165"/>
      <c r="P83" s="260">
        <v>0</v>
      </c>
      <c r="Q83" s="165"/>
      <c r="R83" s="165"/>
      <c r="S83" s="165"/>
      <c r="T83" s="165"/>
      <c r="U83" s="165"/>
      <c r="V83" s="165"/>
      <c r="W83" s="165"/>
      <c r="X83" s="165"/>
      <c r="Y83" s="301"/>
      <c r="Z83" s="288"/>
      <c r="AB83" s="329"/>
    </row>
    <row r="84" spans="1:30" s="316" customFormat="1" ht="25.5" x14ac:dyDescent="0.2">
      <c r="A84" s="148" t="s">
        <v>106</v>
      </c>
      <c r="B84" s="336"/>
      <c r="C84" s="297"/>
      <c r="D84" s="169"/>
      <c r="E84" s="298" t="s">
        <v>44</v>
      </c>
      <c r="F84" s="297"/>
      <c r="G84" s="297" t="s">
        <v>60</v>
      </c>
      <c r="H84" s="165"/>
      <c r="I84" s="165">
        <f t="shared" si="49"/>
        <v>0</v>
      </c>
      <c r="J84" s="165">
        <v>0</v>
      </c>
      <c r="K84" s="301">
        <v>0</v>
      </c>
      <c r="L84" s="301">
        <v>0</v>
      </c>
      <c r="M84" s="301">
        <v>0</v>
      </c>
      <c r="N84" s="293">
        <f t="shared" si="50"/>
        <v>0</v>
      </c>
      <c r="O84" s="165"/>
      <c r="P84" s="260">
        <v>95110.1</v>
      </c>
      <c r="Q84" s="165">
        <f>R84+T84+U84+V84</f>
        <v>90005.6</v>
      </c>
      <c r="R84" s="165"/>
      <c r="S84" s="165"/>
      <c r="T84" s="165"/>
      <c r="U84" s="165">
        <v>90005.6</v>
      </c>
      <c r="V84" s="165"/>
      <c r="W84" s="165"/>
      <c r="X84" s="165">
        <f>P84+Q84</f>
        <v>185115.7</v>
      </c>
      <c r="Y84" s="301"/>
      <c r="Z84" s="288"/>
      <c r="AA84" s="288"/>
      <c r="AB84" s="329"/>
      <c r="AC84" s="288"/>
      <c r="AD84" s="288"/>
    </row>
    <row r="85" spans="1:30" s="316" customFormat="1" hidden="1" x14ac:dyDescent="0.2">
      <c r="A85" s="148" t="s">
        <v>104</v>
      </c>
      <c r="B85" s="336"/>
      <c r="C85" s="297"/>
      <c r="D85" s="297"/>
      <c r="E85" s="298"/>
      <c r="F85" s="297"/>
      <c r="G85" s="297" t="s">
        <v>105</v>
      </c>
      <c r="H85" s="165">
        <v>0</v>
      </c>
      <c r="I85" s="165">
        <f t="shared" si="49"/>
        <v>0</v>
      </c>
      <c r="J85" s="165"/>
      <c r="K85" s="301"/>
      <c r="L85" s="301"/>
      <c r="M85" s="301"/>
      <c r="N85" s="293">
        <f t="shared" si="50"/>
        <v>0</v>
      </c>
      <c r="O85" s="165">
        <v>0</v>
      </c>
      <c r="P85" s="260">
        <v>0</v>
      </c>
      <c r="Q85" s="165"/>
      <c r="R85" s="165"/>
      <c r="S85" s="165"/>
      <c r="T85" s="165"/>
      <c r="U85" s="165"/>
      <c r="V85" s="165"/>
      <c r="W85" s="165"/>
      <c r="X85" s="165"/>
      <c r="Y85" s="301"/>
      <c r="Z85" s="288"/>
      <c r="AA85" s="288"/>
      <c r="AB85" s="329"/>
      <c r="AC85" s="288"/>
      <c r="AD85" s="288"/>
    </row>
    <row r="86" spans="1:30" s="316" customFormat="1" hidden="1" x14ac:dyDescent="0.2">
      <c r="A86" s="148" t="s">
        <v>567</v>
      </c>
      <c r="B86" s="336"/>
      <c r="C86" s="297"/>
      <c r="D86" s="169" t="s">
        <v>34</v>
      </c>
      <c r="E86" s="298" t="s">
        <v>84</v>
      </c>
      <c r="F86" s="297"/>
      <c r="G86" s="297" t="s">
        <v>38</v>
      </c>
      <c r="H86" s="165">
        <f>200000/2</f>
        <v>100000</v>
      </c>
      <c r="I86" s="165">
        <f t="shared" si="49"/>
        <v>-5000</v>
      </c>
      <c r="J86" s="302">
        <v>-5000</v>
      </c>
      <c r="K86" s="301">
        <v>0</v>
      </c>
      <c r="L86" s="301">
        <v>0</v>
      </c>
      <c r="M86" s="301">
        <v>0</v>
      </c>
      <c r="N86" s="293">
        <f t="shared" si="50"/>
        <v>95000</v>
      </c>
      <c r="O86" s="165">
        <f>(200000/2)*80%</f>
        <v>80000</v>
      </c>
      <c r="P86" s="260">
        <v>0</v>
      </c>
      <c r="Q86" s="165">
        <v>0</v>
      </c>
      <c r="R86" s="165"/>
      <c r="S86" s="165">
        <v>0</v>
      </c>
      <c r="T86" s="165"/>
      <c r="U86" s="165"/>
      <c r="V86" s="165"/>
      <c r="W86" s="165"/>
      <c r="X86" s="165">
        <f>P86+Q86</f>
        <v>0</v>
      </c>
      <c r="Y86" s="301"/>
      <c r="Z86" s="288"/>
      <c r="AA86" s="288"/>
      <c r="AB86" s="329"/>
      <c r="AC86" s="288"/>
      <c r="AD86" s="288"/>
    </row>
    <row r="87" spans="1:30" s="316" customFormat="1" ht="25.5" x14ac:dyDescent="0.2">
      <c r="A87" s="148" t="s">
        <v>626</v>
      </c>
      <c r="B87" s="336"/>
      <c r="C87" s="297"/>
      <c r="D87" s="169" t="s">
        <v>34</v>
      </c>
      <c r="E87" s="298" t="s">
        <v>282</v>
      </c>
      <c r="F87" s="297"/>
      <c r="G87" s="297" t="s">
        <v>38</v>
      </c>
      <c r="H87" s="165">
        <v>35000</v>
      </c>
      <c r="I87" s="165">
        <f t="shared" si="49"/>
        <v>0</v>
      </c>
      <c r="J87" s="165"/>
      <c r="K87" s="301"/>
      <c r="L87" s="301"/>
      <c r="M87" s="301"/>
      <c r="N87" s="293">
        <f t="shared" si="50"/>
        <v>35000</v>
      </c>
      <c r="O87" s="165">
        <f>35000*80%</f>
        <v>28000</v>
      </c>
      <c r="P87" s="165">
        <v>0</v>
      </c>
      <c r="Q87" s="165">
        <f t="shared" ref="Q87:Q88" si="51">R87+S87+T87+U87+V87</f>
        <v>83219.509999999995</v>
      </c>
      <c r="R87" s="165">
        <v>0</v>
      </c>
      <c r="S87" s="165"/>
      <c r="T87" s="165"/>
      <c r="U87" s="165">
        <f>84749.51-1530</f>
        <v>83219.509999999995</v>
      </c>
      <c r="V87" s="165"/>
      <c r="W87" s="165"/>
      <c r="X87" s="165">
        <f>P87+Q87</f>
        <v>83219.509999999995</v>
      </c>
      <c r="Y87" s="301"/>
      <c r="Z87" s="288"/>
      <c r="AA87" s="288"/>
      <c r="AB87" s="329"/>
      <c r="AC87" s="288"/>
      <c r="AD87" s="288"/>
    </row>
    <row r="88" spans="1:30" s="316" customFormat="1" ht="25.5" x14ac:dyDescent="0.2">
      <c r="A88" s="148" t="s">
        <v>107</v>
      </c>
      <c r="B88" s="336"/>
      <c r="C88" s="297"/>
      <c r="D88" s="169" t="s">
        <v>34</v>
      </c>
      <c r="E88" s="298" t="s">
        <v>46</v>
      </c>
      <c r="F88" s="297"/>
      <c r="G88" s="297" t="s">
        <v>108</v>
      </c>
      <c r="H88" s="165">
        <v>51000</v>
      </c>
      <c r="I88" s="165">
        <f t="shared" si="49"/>
        <v>0</v>
      </c>
      <c r="J88" s="165">
        <v>0</v>
      </c>
      <c r="K88" s="301">
        <v>0</v>
      </c>
      <c r="L88" s="301">
        <v>0</v>
      </c>
      <c r="M88" s="301">
        <v>0</v>
      </c>
      <c r="N88" s="293">
        <f t="shared" si="50"/>
        <v>51000</v>
      </c>
      <c r="O88" s="165">
        <f>51000*80%</f>
        <v>40800</v>
      </c>
      <c r="P88" s="260">
        <v>0</v>
      </c>
      <c r="Q88" s="165">
        <f t="shared" si="51"/>
        <v>18700</v>
      </c>
      <c r="R88" s="165">
        <v>18700</v>
      </c>
      <c r="S88" s="165">
        <v>0</v>
      </c>
      <c r="T88" s="165"/>
      <c r="U88" s="165"/>
      <c r="V88" s="165"/>
      <c r="W88" s="165"/>
      <c r="X88" s="165">
        <f>P88+Q88</f>
        <v>18700</v>
      </c>
      <c r="Y88" s="301"/>
      <c r="Z88" s="288"/>
      <c r="AA88" s="288"/>
      <c r="AB88" s="329"/>
      <c r="AC88" s="288"/>
      <c r="AD88" s="288"/>
    </row>
    <row r="89" spans="1:30" s="316" customFormat="1" ht="25.5" hidden="1" x14ac:dyDescent="0.2">
      <c r="A89" s="148" t="s">
        <v>107</v>
      </c>
      <c r="B89" s="336"/>
      <c r="C89" s="297"/>
      <c r="D89" s="169" t="s">
        <v>418</v>
      </c>
      <c r="E89" s="298" t="s">
        <v>46</v>
      </c>
      <c r="F89" s="297"/>
      <c r="G89" s="297" t="s">
        <v>108</v>
      </c>
      <c r="H89" s="165"/>
      <c r="I89" s="165"/>
      <c r="J89" s="165"/>
      <c r="K89" s="301"/>
      <c r="L89" s="301"/>
      <c r="M89" s="301"/>
      <c r="N89" s="365"/>
      <c r="O89" s="165"/>
      <c r="P89" s="260">
        <v>0</v>
      </c>
      <c r="Q89" s="165">
        <f>R89+S89+T89+U89</f>
        <v>0</v>
      </c>
      <c r="R89" s="165"/>
      <c r="S89" s="165">
        <v>0</v>
      </c>
      <c r="T89" s="165"/>
      <c r="U89" s="165"/>
      <c r="V89" s="165"/>
      <c r="W89" s="165"/>
      <c r="X89" s="165">
        <f>P89+Q89</f>
        <v>0</v>
      </c>
      <c r="Y89" s="301"/>
      <c r="Z89" s="288"/>
      <c r="AA89" s="288"/>
      <c r="AB89" s="329"/>
      <c r="AC89" s="288"/>
      <c r="AD89" s="288"/>
    </row>
    <row r="90" spans="1:30" s="316" customFormat="1" x14ac:dyDescent="0.2">
      <c r="A90" s="148" t="s">
        <v>57</v>
      </c>
      <c r="B90" s="336"/>
      <c r="C90" s="297"/>
      <c r="D90" s="169" t="s">
        <v>34</v>
      </c>
      <c r="E90" s="298" t="s">
        <v>46</v>
      </c>
      <c r="F90" s="297"/>
      <c r="G90" s="297" t="s">
        <v>64</v>
      </c>
      <c r="H90" s="165">
        <v>20000</v>
      </c>
      <c r="I90" s="165"/>
      <c r="J90" s="165"/>
      <c r="K90" s="301"/>
      <c r="L90" s="301"/>
      <c r="M90" s="301"/>
      <c r="N90" s="365"/>
      <c r="O90" s="165">
        <f>20000*80%</f>
        <v>16000</v>
      </c>
      <c r="P90" s="260">
        <v>0</v>
      </c>
      <c r="Q90" s="165">
        <f>R90+S90+T90+U90</f>
        <v>10700</v>
      </c>
      <c r="R90" s="165">
        <v>10700</v>
      </c>
      <c r="S90" s="165">
        <v>0</v>
      </c>
      <c r="T90" s="165"/>
      <c r="U90" s="165"/>
      <c r="V90" s="165"/>
      <c r="W90" s="165"/>
      <c r="X90" s="165">
        <f>P90+Q90</f>
        <v>10700</v>
      </c>
      <c r="Y90" s="301"/>
      <c r="Z90" s="288"/>
      <c r="AA90" s="288"/>
      <c r="AB90" s="329"/>
      <c r="AC90" s="288"/>
      <c r="AD90" s="288"/>
    </row>
    <row r="91" spans="1:30" s="316" customFormat="1" hidden="1" x14ac:dyDescent="0.2">
      <c r="A91" s="148" t="s">
        <v>109</v>
      </c>
      <c r="B91" s="336"/>
      <c r="C91" s="297"/>
      <c r="D91" s="297"/>
      <c r="E91" s="298" t="s">
        <v>46</v>
      </c>
      <c r="F91" s="297"/>
      <c r="G91" s="297" t="s">
        <v>64</v>
      </c>
      <c r="H91" s="165">
        <v>50000</v>
      </c>
      <c r="I91" s="165">
        <f t="shared" si="49"/>
        <v>16000</v>
      </c>
      <c r="J91" s="165">
        <v>0</v>
      </c>
      <c r="K91" s="301">
        <v>0</v>
      </c>
      <c r="L91" s="301">
        <v>0</v>
      </c>
      <c r="M91" s="301">
        <v>16000</v>
      </c>
      <c r="N91" s="301">
        <f t="shared" si="50"/>
        <v>66000</v>
      </c>
      <c r="O91" s="165">
        <f>50000*80%</f>
        <v>40000</v>
      </c>
      <c r="P91" s="260">
        <v>0</v>
      </c>
      <c r="Q91" s="165"/>
      <c r="R91" s="165"/>
      <c r="S91" s="165"/>
      <c r="T91" s="165"/>
      <c r="U91" s="165"/>
      <c r="V91" s="165"/>
      <c r="W91" s="165"/>
      <c r="X91" s="165"/>
      <c r="Y91" s="301"/>
      <c r="Z91" s="288"/>
      <c r="AA91" s="288"/>
      <c r="AB91" s="329"/>
      <c r="AC91" s="288"/>
      <c r="AD91" s="288"/>
    </row>
    <row r="92" spans="1:30" s="316" customFormat="1" hidden="1" x14ac:dyDescent="0.2">
      <c r="A92" s="482" t="s">
        <v>110</v>
      </c>
      <c r="B92" s="483">
        <v>804</v>
      </c>
      <c r="C92" s="373" t="s">
        <v>83</v>
      </c>
      <c r="D92" s="57" t="s">
        <v>111</v>
      </c>
      <c r="E92" s="373" t="s">
        <v>112</v>
      </c>
      <c r="F92" s="373" t="s">
        <v>113</v>
      </c>
      <c r="G92" s="373"/>
      <c r="H92" s="350">
        <f t="shared" ref="H92:P92" si="52">H93</f>
        <v>200309.54</v>
      </c>
      <c r="I92" s="350">
        <f t="shared" si="52"/>
        <v>0</v>
      </c>
      <c r="J92" s="350">
        <f t="shared" si="52"/>
        <v>0</v>
      </c>
      <c r="K92" s="350">
        <f t="shared" si="52"/>
        <v>0</v>
      </c>
      <c r="L92" s="350">
        <f t="shared" si="52"/>
        <v>0</v>
      </c>
      <c r="M92" s="350">
        <f t="shared" si="52"/>
        <v>0</v>
      </c>
      <c r="N92" s="484">
        <f t="shared" si="52"/>
        <v>200309.54</v>
      </c>
      <c r="O92" s="350">
        <f t="shared" si="52"/>
        <v>200309.54</v>
      </c>
      <c r="P92" s="350">
        <f t="shared" si="52"/>
        <v>0</v>
      </c>
      <c r="Q92" s="350"/>
      <c r="R92" s="350"/>
      <c r="S92" s="165"/>
      <c r="T92" s="165"/>
      <c r="U92" s="165"/>
      <c r="V92" s="165"/>
      <c r="W92" s="165"/>
      <c r="X92" s="165"/>
      <c r="Y92" s="301"/>
      <c r="Z92" s="288"/>
      <c r="AA92" s="288"/>
      <c r="AB92" s="388"/>
      <c r="AC92" s="288"/>
      <c r="AD92" s="288"/>
    </row>
    <row r="93" spans="1:30" s="316" customFormat="1" ht="24" hidden="1" x14ac:dyDescent="0.2">
      <c r="A93" s="485" t="s">
        <v>114</v>
      </c>
      <c r="B93" s="483"/>
      <c r="C93" s="486"/>
      <c r="D93" s="486"/>
      <c r="E93" s="486"/>
      <c r="F93" s="374" t="s">
        <v>115</v>
      </c>
      <c r="G93" s="373"/>
      <c r="H93" s="351">
        <v>200309.54</v>
      </c>
      <c r="I93" s="165">
        <f>SUM(J93:M93)</f>
        <v>0</v>
      </c>
      <c r="J93" s="262">
        <v>0</v>
      </c>
      <c r="K93" s="262">
        <v>0</v>
      </c>
      <c r="L93" s="262">
        <v>0</v>
      </c>
      <c r="M93" s="262">
        <v>0</v>
      </c>
      <c r="N93" s="301">
        <f>H93+I93</f>
        <v>200309.54</v>
      </c>
      <c r="O93" s="351">
        <v>200309.54</v>
      </c>
      <c r="P93" s="351">
        <v>0</v>
      </c>
      <c r="Q93" s="351"/>
      <c r="R93" s="351"/>
      <c r="S93" s="165"/>
      <c r="T93" s="165"/>
      <c r="U93" s="165"/>
      <c r="V93" s="165"/>
      <c r="W93" s="165"/>
      <c r="X93" s="165"/>
      <c r="Y93" s="301"/>
      <c r="Z93" s="288"/>
      <c r="AA93" s="288"/>
      <c r="AB93" s="390"/>
      <c r="AC93" s="288"/>
      <c r="AD93" s="288"/>
    </row>
    <row r="94" spans="1:30" s="331" customFormat="1" ht="12.75" customHeight="1" x14ac:dyDescent="0.2">
      <c r="A94" s="487" t="s">
        <v>65</v>
      </c>
      <c r="B94" s="488">
        <v>804</v>
      </c>
      <c r="C94" s="476" t="s">
        <v>83</v>
      </c>
      <c r="D94" s="489" t="s">
        <v>34</v>
      </c>
      <c r="E94" s="490" t="s">
        <v>19</v>
      </c>
      <c r="F94" s="476" t="s">
        <v>66</v>
      </c>
      <c r="G94" s="476"/>
      <c r="H94" s="124">
        <f t="shared" ref="H94:N94" si="53">SUM(H95:H97)</f>
        <v>0</v>
      </c>
      <c r="I94" s="124">
        <f t="shared" si="53"/>
        <v>0</v>
      </c>
      <c r="J94" s="124">
        <f t="shared" si="53"/>
        <v>0</v>
      </c>
      <c r="K94" s="124">
        <f t="shared" si="53"/>
        <v>0</v>
      </c>
      <c r="L94" s="124">
        <f t="shared" si="53"/>
        <v>0</v>
      </c>
      <c r="M94" s="124">
        <f t="shared" si="53"/>
        <v>0</v>
      </c>
      <c r="N94" s="124">
        <f t="shared" si="53"/>
        <v>0</v>
      </c>
      <c r="O94" s="124">
        <f>SUM(O95:O97)</f>
        <v>74564</v>
      </c>
      <c r="P94" s="258">
        <f>P97+P98</f>
        <v>17424</v>
      </c>
      <c r="Q94" s="258">
        <f t="shared" ref="Q94:X94" si="54">Q97+Q98</f>
        <v>0</v>
      </c>
      <c r="R94" s="258">
        <f t="shared" si="54"/>
        <v>0</v>
      </c>
      <c r="S94" s="258">
        <f t="shared" si="54"/>
        <v>0</v>
      </c>
      <c r="T94" s="258">
        <f t="shared" si="54"/>
        <v>0</v>
      </c>
      <c r="U94" s="258">
        <f t="shared" si="54"/>
        <v>0</v>
      </c>
      <c r="V94" s="258">
        <f t="shared" si="54"/>
        <v>0</v>
      </c>
      <c r="W94" s="258">
        <f t="shared" si="54"/>
        <v>0</v>
      </c>
      <c r="X94" s="258">
        <f t="shared" si="54"/>
        <v>17424</v>
      </c>
      <c r="Y94" s="165"/>
      <c r="Z94" s="329"/>
      <c r="AA94" s="329"/>
      <c r="AB94" s="385"/>
      <c r="AC94" s="329"/>
      <c r="AD94" s="329"/>
    </row>
    <row r="95" spans="1:30" s="320" customFormat="1" ht="20.25" hidden="1" customHeight="1" x14ac:dyDescent="0.2">
      <c r="A95" s="60" t="s">
        <v>116</v>
      </c>
      <c r="B95" s="491"/>
      <c r="C95" s="169"/>
      <c r="D95" s="169"/>
      <c r="E95" s="185" t="s">
        <v>117</v>
      </c>
      <c r="F95" s="169"/>
      <c r="G95" s="169" t="s">
        <v>118</v>
      </c>
      <c r="H95" s="163">
        <v>0</v>
      </c>
      <c r="I95" s="165">
        <f>SUM(J95:M95)</f>
        <v>0</v>
      </c>
      <c r="J95" s="163"/>
      <c r="K95" s="292"/>
      <c r="L95" s="292"/>
      <c r="M95" s="292"/>
      <c r="N95" s="293">
        <f>H95+I95</f>
        <v>0</v>
      </c>
      <c r="O95" s="163">
        <v>54564</v>
      </c>
      <c r="P95" s="262">
        <v>0</v>
      </c>
      <c r="Q95" s="163"/>
      <c r="R95" s="163"/>
      <c r="S95" s="165"/>
      <c r="T95" s="165"/>
      <c r="U95" s="165"/>
      <c r="V95" s="165"/>
      <c r="W95" s="165"/>
      <c r="X95" s="165"/>
      <c r="Y95" s="292"/>
      <c r="Z95" s="290"/>
      <c r="AA95" s="290"/>
      <c r="AB95" s="332"/>
      <c r="AC95" s="290"/>
      <c r="AD95" s="290"/>
    </row>
    <row r="96" spans="1:30" s="320" customFormat="1" ht="23.25" hidden="1" customHeight="1" x14ac:dyDescent="0.2">
      <c r="A96" s="60" t="s">
        <v>119</v>
      </c>
      <c r="B96" s="491"/>
      <c r="C96" s="169"/>
      <c r="D96" s="169"/>
      <c r="E96" s="185" t="s">
        <v>120</v>
      </c>
      <c r="F96" s="169"/>
      <c r="G96" s="169" t="s">
        <v>121</v>
      </c>
      <c r="H96" s="163">
        <v>0</v>
      </c>
      <c r="I96" s="165">
        <f>SUM(J96:M96)</f>
        <v>0</v>
      </c>
      <c r="J96" s="163"/>
      <c r="K96" s="292"/>
      <c r="L96" s="292"/>
      <c r="M96" s="292"/>
      <c r="N96" s="293">
        <f>H96+I96</f>
        <v>0</v>
      </c>
      <c r="O96" s="163">
        <v>20000</v>
      </c>
      <c r="P96" s="262">
        <v>0</v>
      </c>
      <c r="Q96" s="163"/>
      <c r="R96" s="163"/>
      <c r="S96" s="165"/>
      <c r="T96" s="165"/>
      <c r="U96" s="165"/>
      <c r="V96" s="165"/>
      <c r="W96" s="165"/>
      <c r="X96" s="165"/>
      <c r="Y96" s="292"/>
      <c r="Z96" s="290"/>
      <c r="AA96" s="290"/>
      <c r="AB96" s="332"/>
      <c r="AC96" s="290"/>
      <c r="AD96" s="290"/>
    </row>
    <row r="97" spans="1:30" s="316" customFormat="1" ht="24.75" customHeight="1" x14ac:dyDescent="0.2">
      <c r="A97" s="53" t="s">
        <v>568</v>
      </c>
      <c r="B97" s="477"/>
      <c r="C97" s="297"/>
      <c r="D97" s="297"/>
      <c r="E97" s="298" t="s">
        <v>123</v>
      </c>
      <c r="F97" s="372" t="s">
        <v>555</v>
      </c>
      <c r="G97" s="372" t="s">
        <v>69</v>
      </c>
      <c r="H97" s="165">
        <v>0</v>
      </c>
      <c r="I97" s="165">
        <f>SUM(J97:M97)</f>
        <v>0</v>
      </c>
      <c r="J97" s="165">
        <v>0</v>
      </c>
      <c r="K97" s="301">
        <v>0</v>
      </c>
      <c r="L97" s="301">
        <v>0</v>
      </c>
      <c r="M97" s="301">
        <v>0</v>
      </c>
      <c r="N97" s="293">
        <f>H97+I97</f>
        <v>0</v>
      </c>
      <c r="O97" s="165">
        <v>0</v>
      </c>
      <c r="P97" s="260">
        <v>17424</v>
      </c>
      <c r="Q97" s="165">
        <f>R97+S97+T97+U97+V97</f>
        <v>0</v>
      </c>
      <c r="R97" s="165"/>
      <c r="S97" s="165"/>
      <c r="T97" s="165"/>
      <c r="U97" s="165"/>
      <c r="V97" s="165"/>
      <c r="W97" s="165"/>
      <c r="X97" s="165">
        <f>P97+Q97</f>
        <v>17424</v>
      </c>
      <c r="Y97" s="301"/>
      <c r="Z97" s="288"/>
      <c r="AA97" s="288"/>
      <c r="AB97" s="329"/>
      <c r="AC97" s="288"/>
      <c r="AD97" s="288"/>
    </row>
    <row r="98" spans="1:30" ht="24.75" hidden="1" customHeight="1" x14ac:dyDescent="0.2">
      <c r="A98" s="53" t="s">
        <v>122</v>
      </c>
      <c r="B98" s="7"/>
      <c r="C98" s="8"/>
      <c r="D98" s="8"/>
      <c r="E98" s="9"/>
      <c r="F98" s="8"/>
      <c r="G98" s="8" t="s">
        <v>69</v>
      </c>
      <c r="H98" s="31"/>
      <c r="I98" s="31"/>
      <c r="J98" s="31"/>
      <c r="K98" s="32"/>
      <c r="L98" s="32"/>
      <c r="M98" s="32"/>
      <c r="N98" s="33"/>
      <c r="O98" s="31"/>
      <c r="P98" s="54">
        <v>0</v>
      </c>
      <c r="Q98" s="165">
        <f>R98+S98+T98+U98</f>
        <v>0</v>
      </c>
      <c r="R98" s="165"/>
      <c r="S98" s="165"/>
      <c r="T98" s="165"/>
      <c r="U98" s="165"/>
      <c r="V98" s="165"/>
      <c r="W98" s="165"/>
      <c r="X98" s="165">
        <f>P98+Q98</f>
        <v>0</v>
      </c>
      <c r="Y98" s="301"/>
      <c r="Z98" s="288"/>
      <c r="AA98" s="288"/>
      <c r="AB98" s="329"/>
      <c r="AC98" s="288"/>
      <c r="AD98" s="37"/>
    </row>
    <row r="99" spans="1:30" s="316" customFormat="1" ht="12.75" customHeight="1" x14ac:dyDescent="0.2">
      <c r="A99" s="121" t="s">
        <v>70</v>
      </c>
      <c r="B99" s="458">
        <v>804</v>
      </c>
      <c r="C99" s="89" t="s">
        <v>83</v>
      </c>
      <c r="D99" s="57" t="s">
        <v>34</v>
      </c>
      <c r="E99" s="123" t="s">
        <v>46</v>
      </c>
      <c r="F99" s="89" t="s">
        <v>71</v>
      </c>
      <c r="G99" s="89"/>
      <c r="H99" s="124">
        <f t="shared" ref="H99:N99" si="55">H100+H103</f>
        <v>160000</v>
      </c>
      <c r="I99" s="124">
        <f t="shared" si="55"/>
        <v>26531.55</v>
      </c>
      <c r="J99" s="124">
        <f t="shared" si="55"/>
        <v>0</v>
      </c>
      <c r="K99" s="359">
        <f t="shared" si="55"/>
        <v>0</v>
      </c>
      <c r="L99" s="359">
        <f t="shared" si="55"/>
        <v>0</v>
      </c>
      <c r="M99" s="359">
        <f t="shared" si="55"/>
        <v>26531.55</v>
      </c>
      <c r="N99" s="360">
        <f t="shared" si="55"/>
        <v>186531.55</v>
      </c>
      <c r="O99" s="124">
        <f>O100+O103</f>
        <v>128000</v>
      </c>
      <c r="P99" s="258">
        <f>P100+P103</f>
        <v>57232.92</v>
      </c>
      <c r="Q99" s="258">
        <f t="shared" ref="Q99:W99" si="56">Q100+Q103+Q127</f>
        <v>-5798.8100000000013</v>
      </c>
      <c r="R99" s="258">
        <f t="shared" si="56"/>
        <v>-23728.81</v>
      </c>
      <c r="S99" s="258">
        <f t="shared" si="56"/>
        <v>0</v>
      </c>
      <c r="T99" s="258">
        <f t="shared" si="56"/>
        <v>0</v>
      </c>
      <c r="U99" s="258">
        <f t="shared" si="56"/>
        <v>17930</v>
      </c>
      <c r="V99" s="258">
        <f t="shared" si="56"/>
        <v>0</v>
      </c>
      <c r="W99" s="258">
        <f t="shared" si="56"/>
        <v>0</v>
      </c>
      <c r="X99" s="258">
        <f>X100+X103+X127</f>
        <v>51434.11</v>
      </c>
      <c r="Y99" s="301"/>
      <c r="Z99" s="288"/>
      <c r="AA99" s="288"/>
      <c r="AB99" s="385"/>
      <c r="AC99" s="288"/>
      <c r="AD99" s="288"/>
    </row>
    <row r="100" spans="1:30" x14ac:dyDescent="0.2">
      <c r="A100" s="6" t="s">
        <v>72</v>
      </c>
      <c r="B100" s="7">
        <v>804</v>
      </c>
      <c r="C100" s="8" t="s">
        <v>83</v>
      </c>
      <c r="D100" s="30" t="s">
        <v>34</v>
      </c>
      <c r="E100" s="9" t="s">
        <v>19</v>
      </c>
      <c r="F100" s="8" t="s">
        <v>73</v>
      </c>
      <c r="G100" s="25"/>
      <c r="H100" s="31">
        <f>SUM(H101:H102)</f>
        <v>50000</v>
      </c>
      <c r="I100" s="31">
        <f t="shared" ref="I100:N100" si="57">SUM(I101:I102)</f>
        <v>0</v>
      </c>
      <c r="J100" s="31">
        <f t="shared" si="57"/>
        <v>0</v>
      </c>
      <c r="K100" s="32">
        <f t="shared" si="57"/>
        <v>0</v>
      </c>
      <c r="L100" s="32">
        <f t="shared" si="57"/>
        <v>0</v>
      </c>
      <c r="M100" s="32">
        <f t="shared" si="57"/>
        <v>0</v>
      </c>
      <c r="N100" s="33">
        <f t="shared" si="57"/>
        <v>50000</v>
      </c>
      <c r="O100" s="31">
        <f>SUM(O101:O102)</f>
        <v>40000</v>
      </c>
      <c r="P100" s="54">
        <f>SUM(P101:P102)</f>
        <v>0</v>
      </c>
      <c r="Q100" s="260">
        <f t="shared" ref="Q100:X100" si="58">SUM(Q101:Q102)</f>
        <v>17930</v>
      </c>
      <c r="R100" s="260">
        <f t="shared" si="58"/>
        <v>0</v>
      </c>
      <c r="S100" s="260">
        <f t="shared" si="58"/>
        <v>0</v>
      </c>
      <c r="T100" s="260">
        <f t="shared" si="58"/>
        <v>0</v>
      </c>
      <c r="U100" s="260">
        <f t="shared" si="58"/>
        <v>17930</v>
      </c>
      <c r="V100" s="260">
        <f t="shared" si="58"/>
        <v>0</v>
      </c>
      <c r="W100" s="260">
        <f t="shared" si="58"/>
        <v>0</v>
      </c>
      <c r="X100" s="260">
        <f t="shared" si="58"/>
        <v>17930</v>
      </c>
      <c r="Y100" s="301"/>
      <c r="Z100" s="288"/>
      <c r="AA100" s="316"/>
      <c r="AB100" s="389"/>
      <c r="AC100" s="316"/>
    </row>
    <row r="101" spans="1:30" ht="51" x14ac:dyDescent="0.2">
      <c r="A101" s="40" t="s">
        <v>124</v>
      </c>
      <c r="B101" s="7"/>
      <c r="C101" s="8"/>
      <c r="D101" s="8"/>
      <c r="E101" s="9" t="s">
        <v>44</v>
      </c>
      <c r="F101" s="8"/>
      <c r="G101" s="30" t="s">
        <v>75</v>
      </c>
      <c r="H101" s="31">
        <v>30000</v>
      </c>
      <c r="I101" s="31">
        <f>SUM(J101:M101)</f>
        <v>0</v>
      </c>
      <c r="J101" s="31">
        <v>0</v>
      </c>
      <c r="K101" s="32"/>
      <c r="L101" s="32"/>
      <c r="M101" s="32"/>
      <c r="N101" s="33">
        <f>H101+I101</f>
        <v>30000</v>
      </c>
      <c r="O101" s="31">
        <f>30000*80%</f>
        <v>24000</v>
      </c>
      <c r="P101" s="54">
        <v>0</v>
      </c>
      <c r="Q101" s="165">
        <f>R101+S101+T101+U101+V101</f>
        <v>17930</v>
      </c>
      <c r="R101" s="165">
        <v>0</v>
      </c>
      <c r="S101" s="302"/>
      <c r="T101" s="165"/>
      <c r="U101" s="165">
        <v>17930</v>
      </c>
      <c r="V101" s="165"/>
      <c r="W101" s="165"/>
      <c r="X101" s="165">
        <f>P101+Q101</f>
        <v>17930</v>
      </c>
      <c r="Y101" s="301"/>
      <c r="Z101" s="288"/>
      <c r="AA101" s="316"/>
      <c r="AB101" s="329"/>
      <c r="AC101" s="316"/>
    </row>
    <row r="102" spans="1:30" ht="49.5" hidden="1" customHeight="1" x14ac:dyDescent="0.2">
      <c r="A102" s="40" t="s">
        <v>124</v>
      </c>
      <c r="B102" s="41"/>
      <c r="C102" s="8"/>
      <c r="D102" s="8"/>
      <c r="E102" s="9" t="s">
        <v>46</v>
      </c>
      <c r="F102" s="8"/>
      <c r="G102" s="8" t="s">
        <v>75</v>
      </c>
      <c r="H102" s="31">
        <v>20000</v>
      </c>
      <c r="I102" s="31">
        <f>SUM(J102:M102)</f>
        <v>0</v>
      </c>
      <c r="J102" s="31">
        <v>0</v>
      </c>
      <c r="K102" s="32">
        <v>0</v>
      </c>
      <c r="L102" s="32">
        <v>0</v>
      </c>
      <c r="M102" s="32">
        <v>0</v>
      </c>
      <c r="N102" s="33">
        <f>H102+I102</f>
        <v>20000</v>
      </c>
      <c r="O102" s="31">
        <f>20000*80%</f>
        <v>16000</v>
      </c>
      <c r="P102" s="54">
        <v>0</v>
      </c>
      <c r="Q102" s="165">
        <f>R102+S102+T102+U102</f>
        <v>0</v>
      </c>
      <c r="R102" s="165"/>
      <c r="S102" s="165"/>
      <c r="T102" s="165"/>
      <c r="U102" s="165"/>
      <c r="V102" s="165"/>
      <c r="W102" s="165"/>
      <c r="X102" s="165">
        <f>P102+Q102</f>
        <v>0</v>
      </c>
      <c r="Y102" s="301"/>
      <c r="Z102" s="288"/>
      <c r="AA102" s="316"/>
      <c r="AB102" s="329"/>
      <c r="AC102" s="316"/>
    </row>
    <row r="103" spans="1:30" s="316" customFormat="1" ht="14.25" customHeight="1" x14ac:dyDescent="0.2">
      <c r="A103" s="53" t="s">
        <v>76</v>
      </c>
      <c r="B103" s="477">
        <v>804</v>
      </c>
      <c r="C103" s="297" t="s">
        <v>83</v>
      </c>
      <c r="D103" s="169" t="s">
        <v>34</v>
      </c>
      <c r="E103" s="298" t="s">
        <v>19</v>
      </c>
      <c r="F103" s="372" t="s">
        <v>77</v>
      </c>
      <c r="G103" s="372"/>
      <c r="H103" s="165">
        <f t="shared" ref="H103:N103" si="59">SUM(H104:H106)</f>
        <v>110000</v>
      </c>
      <c r="I103" s="165">
        <f t="shared" si="59"/>
        <v>26531.55</v>
      </c>
      <c r="J103" s="165">
        <f t="shared" si="59"/>
        <v>0</v>
      </c>
      <c r="K103" s="165">
        <f t="shared" si="59"/>
        <v>0</v>
      </c>
      <c r="L103" s="165">
        <f t="shared" si="59"/>
        <v>0</v>
      </c>
      <c r="M103" s="165">
        <f t="shared" si="59"/>
        <v>26531.55</v>
      </c>
      <c r="N103" s="492">
        <f t="shared" si="59"/>
        <v>136531.54999999999</v>
      </c>
      <c r="O103" s="165">
        <f>SUM(O104:O106)</f>
        <v>88000</v>
      </c>
      <c r="P103" s="260">
        <f>P105+P106+P127</f>
        <v>57232.92</v>
      </c>
      <c r="Q103" s="260">
        <f t="shared" ref="Q103:W103" si="60">SUM(Q104:Q106)</f>
        <v>-23728.81</v>
      </c>
      <c r="R103" s="260">
        <f t="shared" si="60"/>
        <v>-23728.81</v>
      </c>
      <c r="S103" s="260">
        <f t="shared" si="60"/>
        <v>0</v>
      </c>
      <c r="T103" s="260">
        <f t="shared" si="60"/>
        <v>0</v>
      </c>
      <c r="U103" s="260">
        <f t="shared" si="60"/>
        <v>0</v>
      </c>
      <c r="V103" s="260">
        <f t="shared" si="60"/>
        <v>0</v>
      </c>
      <c r="W103" s="260">
        <f t="shared" si="60"/>
        <v>0</v>
      </c>
      <c r="X103" s="260">
        <f>SUM(X104:X106)</f>
        <v>33504.11</v>
      </c>
      <c r="Y103" s="301"/>
      <c r="Z103" s="288"/>
      <c r="AB103" s="329"/>
    </row>
    <row r="104" spans="1:30" ht="23.25" hidden="1" customHeight="1" x14ac:dyDescent="0.2">
      <c r="A104" s="40" t="s">
        <v>125</v>
      </c>
      <c r="B104" s="41"/>
      <c r="C104" s="8"/>
      <c r="D104" s="8"/>
      <c r="E104" s="9" t="s">
        <v>46</v>
      </c>
      <c r="F104" s="127"/>
      <c r="G104" s="127" t="s">
        <v>126</v>
      </c>
      <c r="H104" s="66">
        <v>0</v>
      </c>
      <c r="I104" s="31">
        <f>SUM(J104:M104)</f>
        <v>0</v>
      </c>
      <c r="J104" s="66"/>
      <c r="K104" s="66"/>
      <c r="L104" s="66"/>
      <c r="M104" s="66"/>
      <c r="N104" s="358">
        <f>H104+I104</f>
        <v>0</v>
      </c>
      <c r="O104" s="66">
        <v>0</v>
      </c>
      <c r="P104" s="439">
        <v>0</v>
      </c>
      <c r="Q104" s="299"/>
      <c r="R104" s="299"/>
      <c r="S104" s="299"/>
      <c r="T104" s="299"/>
      <c r="U104" s="299"/>
      <c r="V104" s="299"/>
      <c r="W104" s="299"/>
      <c r="X104" s="165"/>
      <c r="Y104" s="301"/>
      <c r="Z104" s="288"/>
      <c r="AA104" s="316"/>
      <c r="AB104" s="391"/>
      <c r="AC104" s="316"/>
    </row>
    <row r="105" spans="1:30" ht="23.25" customHeight="1" x14ac:dyDescent="0.2">
      <c r="A105" s="40" t="s">
        <v>127</v>
      </c>
      <c r="B105" s="41"/>
      <c r="C105" s="8"/>
      <c r="D105" s="8"/>
      <c r="E105" s="9" t="s">
        <v>44</v>
      </c>
      <c r="F105" s="372" t="s">
        <v>554</v>
      </c>
      <c r="G105" s="127" t="s">
        <v>81</v>
      </c>
      <c r="H105" s="66">
        <v>60000</v>
      </c>
      <c r="I105" s="31">
        <f>SUM(J105:M105)</f>
        <v>26531.55</v>
      </c>
      <c r="J105" s="66">
        <v>0</v>
      </c>
      <c r="K105" s="66">
        <v>0</v>
      </c>
      <c r="L105" s="66">
        <v>0</v>
      </c>
      <c r="M105" s="66">
        <v>26531.55</v>
      </c>
      <c r="N105" s="358">
        <f>H105+I105</f>
        <v>86531.55</v>
      </c>
      <c r="O105" s="66">
        <f>60000*80%</f>
        <v>48000</v>
      </c>
      <c r="P105" s="439">
        <v>39732.92</v>
      </c>
      <c r="Q105" s="299">
        <f>R105+S105+T105+U105+V105</f>
        <v>-23728.81</v>
      </c>
      <c r="R105" s="299">
        <v>-23728.81</v>
      </c>
      <c r="S105" s="299">
        <v>0</v>
      </c>
      <c r="T105" s="299"/>
      <c r="U105" s="299">
        <v>0</v>
      </c>
      <c r="V105" s="299"/>
      <c r="W105" s="299"/>
      <c r="X105" s="165">
        <f>P105+Q105</f>
        <v>16004.109999999997</v>
      </c>
      <c r="Y105" s="301" t="s">
        <v>595</v>
      </c>
      <c r="Z105" s="288"/>
      <c r="AA105" s="316"/>
      <c r="AB105" s="391"/>
      <c r="AC105" s="316"/>
    </row>
    <row r="106" spans="1:30" ht="27.75" customHeight="1" x14ac:dyDescent="0.2">
      <c r="A106" s="40" t="s">
        <v>127</v>
      </c>
      <c r="B106" s="41"/>
      <c r="C106" s="8"/>
      <c r="D106" s="8"/>
      <c r="E106" s="9" t="s">
        <v>46</v>
      </c>
      <c r="F106" s="372" t="s">
        <v>554</v>
      </c>
      <c r="G106" s="127" t="s">
        <v>81</v>
      </c>
      <c r="H106" s="66">
        <v>50000</v>
      </c>
      <c r="I106" s="31">
        <f>SUM(J106:M106)</f>
        <v>0</v>
      </c>
      <c r="J106" s="66">
        <v>0</v>
      </c>
      <c r="K106" s="66">
        <v>0</v>
      </c>
      <c r="L106" s="66">
        <v>0</v>
      </c>
      <c r="M106" s="66">
        <v>0</v>
      </c>
      <c r="N106" s="358">
        <f>H106+I106</f>
        <v>50000</v>
      </c>
      <c r="O106" s="66">
        <f>50000*80%</f>
        <v>40000</v>
      </c>
      <c r="P106" s="439">
        <v>17500</v>
      </c>
      <c r="Q106" s="299">
        <f>R106+S106+T106+U106+V106</f>
        <v>0</v>
      </c>
      <c r="R106" s="299">
        <v>0</v>
      </c>
      <c r="S106" s="299">
        <v>0</v>
      </c>
      <c r="T106" s="299"/>
      <c r="U106" s="299">
        <v>0</v>
      </c>
      <c r="V106" s="299"/>
      <c r="W106" s="299"/>
      <c r="X106" s="165">
        <f>P106+Q106</f>
        <v>17500</v>
      </c>
      <c r="Y106" s="301" t="s">
        <v>595</v>
      </c>
      <c r="Z106" s="288"/>
      <c r="AA106" s="316"/>
      <c r="AB106" s="391"/>
      <c r="AC106" s="316"/>
    </row>
    <row r="107" spans="1:30" ht="28.5" hidden="1" customHeight="1" x14ac:dyDescent="0.2">
      <c r="A107" s="68" t="s">
        <v>128</v>
      </c>
      <c r="B107" s="69">
        <v>804</v>
      </c>
      <c r="C107" s="70" t="s">
        <v>129</v>
      </c>
      <c r="D107" s="70" t="s">
        <v>134</v>
      </c>
      <c r="E107" s="71" t="s">
        <v>19</v>
      </c>
      <c r="F107" s="57" t="s">
        <v>19</v>
      </c>
      <c r="G107" s="72"/>
      <c r="H107" s="73">
        <f>H109+H110+H112+H114</f>
        <v>0</v>
      </c>
      <c r="I107" s="73">
        <f t="shared" ref="I107:N107" si="61">I109+I110+I112+I114</f>
        <v>-8321.84</v>
      </c>
      <c r="J107" s="73">
        <f t="shared" si="61"/>
        <v>-8321.84</v>
      </c>
      <c r="K107" s="73">
        <f t="shared" si="61"/>
        <v>0</v>
      </c>
      <c r="L107" s="73">
        <f t="shared" si="61"/>
        <v>0</v>
      </c>
      <c r="M107" s="73">
        <f t="shared" si="61"/>
        <v>0</v>
      </c>
      <c r="N107" s="73">
        <f t="shared" si="61"/>
        <v>-8321.84</v>
      </c>
      <c r="O107" s="73">
        <f>O109+O110+O112+O114</f>
        <v>0</v>
      </c>
      <c r="P107" s="440">
        <f>P108+P109+P110+P112+P114+P125+P126</f>
        <v>0</v>
      </c>
      <c r="Q107" s="299">
        <f t="shared" ref="Q107:Q127" si="62">R107+S107+T107+U107+V107</f>
        <v>0</v>
      </c>
      <c r="R107" s="421">
        <f t="shared" ref="R107" si="63">R108+R109+R110+R112+R114+R125+R126</f>
        <v>0</v>
      </c>
      <c r="S107" s="421">
        <f>S108+S109+S110+S112+S114+S125+S126</f>
        <v>0</v>
      </c>
      <c r="T107" s="421">
        <f t="shared" ref="T107" si="64">T108+T109+T110+T112+T114+T125+T126</f>
        <v>0</v>
      </c>
      <c r="U107" s="421">
        <f t="shared" ref="U107" si="65">U108+U109+U110+U112+U114+U125+U126</f>
        <v>0</v>
      </c>
      <c r="V107" s="421">
        <f t="shared" ref="V107" si="66">V108+V109+V110+V112+V114+V125+V126</f>
        <v>0</v>
      </c>
      <c r="W107" s="421"/>
      <c r="X107" s="165">
        <f t="shared" ref="X107:X127" si="67">P107+Q107</f>
        <v>0</v>
      </c>
      <c r="Y107" s="301" t="s">
        <v>572</v>
      </c>
      <c r="Z107" s="288"/>
      <c r="AA107" s="316"/>
      <c r="AB107" s="392"/>
      <c r="AC107" s="316"/>
    </row>
    <row r="108" spans="1:30" ht="28.5" hidden="1" customHeight="1" x14ac:dyDescent="0.2">
      <c r="A108" s="48" t="s">
        <v>26</v>
      </c>
      <c r="B108" s="251" t="s">
        <v>130</v>
      </c>
      <c r="C108" s="89" t="s">
        <v>129</v>
      </c>
      <c r="D108" s="43" t="s">
        <v>134</v>
      </c>
      <c r="E108" s="123" t="s">
        <v>23</v>
      </c>
      <c r="F108" s="89" t="s">
        <v>27</v>
      </c>
      <c r="G108" s="252"/>
      <c r="H108" s="253"/>
      <c r="I108" s="253"/>
      <c r="J108" s="253"/>
      <c r="K108" s="253"/>
      <c r="L108" s="253"/>
      <c r="M108" s="253"/>
      <c r="N108" s="254"/>
      <c r="O108" s="253"/>
      <c r="P108" s="438">
        <v>0</v>
      </c>
      <c r="Q108" s="299">
        <f t="shared" si="62"/>
        <v>0</v>
      </c>
      <c r="R108" s="258"/>
      <c r="S108" s="258"/>
      <c r="T108" s="258"/>
      <c r="U108" s="258">
        <v>0</v>
      </c>
      <c r="V108" s="258"/>
      <c r="W108" s="258"/>
      <c r="X108" s="165">
        <f t="shared" si="67"/>
        <v>0</v>
      </c>
      <c r="Y108" s="301" t="s">
        <v>573</v>
      </c>
      <c r="Z108" s="288"/>
      <c r="AA108" s="316"/>
      <c r="AB108" s="385"/>
      <c r="AC108" s="316"/>
    </row>
    <row r="109" spans="1:30" s="52" customFormat="1" ht="19.5" hidden="1" customHeight="1" x14ac:dyDescent="0.2">
      <c r="A109" s="74" t="s">
        <v>86</v>
      </c>
      <c r="B109" s="75" t="s">
        <v>130</v>
      </c>
      <c r="C109" s="43" t="s">
        <v>129</v>
      </c>
      <c r="D109" s="43" t="s">
        <v>134</v>
      </c>
      <c r="E109" s="43" t="s">
        <v>44</v>
      </c>
      <c r="F109" s="170" t="s">
        <v>45</v>
      </c>
      <c r="G109" s="43"/>
      <c r="H109" s="241">
        <v>0</v>
      </c>
      <c r="I109" s="204">
        <f>SUM(J109:M109)</f>
        <v>-2400</v>
      </c>
      <c r="J109" s="241">
        <v>-2400</v>
      </c>
      <c r="K109" s="242">
        <v>0</v>
      </c>
      <c r="L109" s="242">
        <v>0</v>
      </c>
      <c r="M109" s="242">
        <v>0</v>
      </c>
      <c r="N109" s="243">
        <f>H109+I109</f>
        <v>-2400</v>
      </c>
      <c r="O109" s="241">
        <v>0</v>
      </c>
      <c r="P109" s="441">
        <v>0</v>
      </c>
      <c r="Q109" s="299">
        <f t="shared" si="62"/>
        <v>0</v>
      </c>
      <c r="R109" s="352">
        <v>0</v>
      </c>
      <c r="S109" s="352"/>
      <c r="T109" s="352"/>
      <c r="U109" s="352"/>
      <c r="V109" s="352"/>
      <c r="W109" s="352"/>
      <c r="X109" s="165">
        <f t="shared" si="67"/>
        <v>0</v>
      </c>
      <c r="Y109" s="301" t="s">
        <v>574</v>
      </c>
      <c r="Z109" s="289"/>
      <c r="AA109" s="319"/>
      <c r="AB109" s="393"/>
      <c r="AC109" s="319"/>
    </row>
    <row r="110" spans="1:30" ht="28.5" hidden="1" customHeight="1" x14ac:dyDescent="0.2">
      <c r="A110" s="74" t="s">
        <v>47</v>
      </c>
      <c r="B110" s="75" t="s">
        <v>130</v>
      </c>
      <c r="C110" s="43" t="s">
        <v>129</v>
      </c>
      <c r="D110" s="43" t="s">
        <v>134</v>
      </c>
      <c r="E110" s="43" t="s">
        <v>46</v>
      </c>
      <c r="F110" s="170" t="s">
        <v>48</v>
      </c>
      <c r="G110" s="43"/>
      <c r="H110" s="241">
        <f t="shared" ref="H110:P110" si="68">H111</f>
        <v>0</v>
      </c>
      <c r="I110" s="241">
        <f t="shared" si="68"/>
        <v>0</v>
      </c>
      <c r="J110" s="241">
        <f t="shared" si="68"/>
        <v>0</v>
      </c>
      <c r="K110" s="242">
        <f t="shared" si="68"/>
        <v>0</v>
      </c>
      <c r="L110" s="242">
        <f t="shared" si="68"/>
        <v>0</v>
      </c>
      <c r="M110" s="242">
        <f t="shared" si="68"/>
        <v>0</v>
      </c>
      <c r="N110" s="244">
        <f t="shared" si="68"/>
        <v>0</v>
      </c>
      <c r="O110" s="241">
        <f t="shared" si="68"/>
        <v>0</v>
      </c>
      <c r="P110" s="441">
        <f t="shared" si="68"/>
        <v>0</v>
      </c>
      <c r="Q110" s="299">
        <f t="shared" si="62"/>
        <v>0</v>
      </c>
      <c r="R110" s="352">
        <f t="shared" ref="R110:U110" si="69">R111</f>
        <v>0</v>
      </c>
      <c r="S110" s="352">
        <f t="shared" si="69"/>
        <v>0</v>
      </c>
      <c r="T110" s="352">
        <f t="shared" si="69"/>
        <v>0</v>
      </c>
      <c r="U110" s="352">
        <f t="shared" si="69"/>
        <v>0</v>
      </c>
      <c r="V110" s="352"/>
      <c r="W110" s="352"/>
      <c r="X110" s="165">
        <f t="shared" si="67"/>
        <v>0</v>
      </c>
      <c r="Y110" s="301" t="s">
        <v>575</v>
      </c>
      <c r="Z110" s="288"/>
      <c r="AA110" s="316"/>
      <c r="AB110" s="393"/>
      <c r="AC110" s="316"/>
    </row>
    <row r="111" spans="1:30" ht="41.25" hidden="1" customHeight="1" x14ac:dyDescent="0.2">
      <c r="A111" s="6" t="s">
        <v>131</v>
      </c>
      <c r="B111" s="41"/>
      <c r="C111" s="8"/>
      <c r="D111" s="8"/>
      <c r="E111" s="9"/>
      <c r="F111" s="297"/>
      <c r="G111" s="8" t="s">
        <v>49</v>
      </c>
      <c r="H111" s="245">
        <v>0</v>
      </c>
      <c r="I111" s="245">
        <f>SUM(J111:M111)</f>
        <v>0</v>
      </c>
      <c r="J111" s="245"/>
      <c r="K111" s="246"/>
      <c r="L111" s="246"/>
      <c r="M111" s="246">
        <v>0</v>
      </c>
      <c r="N111" s="247">
        <f>H111+I111</f>
        <v>0</v>
      </c>
      <c r="O111" s="245">
        <v>0</v>
      </c>
      <c r="P111" s="54">
        <v>0</v>
      </c>
      <c r="Q111" s="299">
        <f t="shared" si="62"/>
        <v>0</v>
      </c>
      <c r="R111" s="165">
        <v>0</v>
      </c>
      <c r="S111" s="165"/>
      <c r="T111" s="165"/>
      <c r="U111" s="165"/>
      <c r="V111" s="165"/>
      <c r="W111" s="165"/>
      <c r="X111" s="165">
        <f t="shared" si="67"/>
        <v>0</v>
      </c>
      <c r="Y111" s="301" t="s">
        <v>576</v>
      </c>
      <c r="Z111" s="288"/>
      <c r="AA111" s="316"/>
      <c r="AB111" s="329"/>
      <c r="AC111" s="316"/>
    </row>
    <row r="112" spans="1:30" ht="28.5" hidden="1" customHeight="1" x14ac:dyDescent="0.2">
      <c r="A112" s="74" t="s">
        <v>57</v>
      </c>
      <c r="B112" s="75" t="s">
        <v>130</v>
      </c>
      <c r="C112" s="43" t="s">
        <v>129</v>
      </c>
      <c r="D112" s="43" t="s">
        <v>134</v>
      </c>
      <c r="E112" s="43" t="s">
        <v>46</v>
      </c>
      <c r="F112" s="170" t="s">
        <v>58</v>
      </c>
      <c r="G112" s="43"/>
      <c r="H112" s="241">
        <f t="shared" ref="H112:U112" si="70">SUM(H113:H113)</f>
        <v>0</v>
      </c>
      <c r="I112" s="241">
        <f t="shared" si="70"/>
        <v>-5921.84</v>
      </c>
      <c r="J112" s="241">
        <f t="shared" si="70"/>
        <v>-5921.84</v>
      </c>
      <c r="K112" s="242">
        <f t="shared" si="70"/>
        <v>0</v>
      </c>
      <c r="L112" s="242">
        <f t="shared" si="70"/>
        <v>0</v>
      </c>
      <c r="M112" s="242">
        <f t="shared" si="70"/>
        <v>0</v>
      </c>
      <c r="N112" s="244">
        <f t="shared" si="70"/>
        <v>-5921.84</v>
      </c>
      <c r="O112" s="241">
        <f t="shared" si="70"/>
        <v>0</v>
      </c>
      <c r="P112" s="441">
        <f t="shared" si="70"/>
        <v>0</v>
      </c>
      <c r="Q112" s="299">
        <f t="shared" si="62"/>
        <v>0</v>
      </c>
      <c r="R112" s="422">
        <f t="shared" si="70"/>
        <v>0</v>
      </c>
      <c r="S112" s="422">
        <f>S113</f>
        <v>0</v>
      </c>
      <c r="T112" s="422">
        <f t="shared" si="70"/>
        <v>0</v>
      </c>
      <c r="U112" s="422">
        <f t="shared" si="70"/>
        <v>0</v>
      </c>
      <c r="V112" s="422"/>
      <c r="W112" s="422"/>
      <c r="X112" s="165">
        <f t="shared" si="67"/>
        <v>0</v>
      </c>
      <c r="Y112" s="301" t="s">
        <v>577</v>
      </c>
      <c r="Z112" s="288"/>
      <c r="AA112" s="316"/>
      <c r="AB112" s="394"/>
      <c r="AC112" s="316"/>
    </row>
    <row r="113" spans="1:29" ht="28.5" hidden="1" customHeight="1" x14ac:dyDescent="0.2">
      <c r="A113" s="6" t="s">
        <v>57</v>
      </c>
      <c r="B113" s="98"/>
      <c r="C113" s="8"/>
      <c r="D113" s="8"/>
      <c r="E113" s="9"/>
      <c r="F113" s="297"/>
      <c r="G113" s="8" t="s">
        <v>64</v>
      </c>
      <c r="H113" s="245">
        <v>0</v>
      </c>
      <c r="I113" s="245">
        <f>SUM(J113:M113)</f>
        <v>-5921.84</v>
      </c>
      <c r="J113" s="245">
        <v>-5921.84</v>
      </c>
      <c r="K113" s="246">
        <v>0</v>
      </c>
      <c r="L113" s="246">
        <v>0</v>
      </c>
      <c r="M113" s="246">
        <v>0</v>
      </c>
      <c r="N113" s="247">
        <f>H113+I113</f>
        <v>-5921.84</v>
      </c>
      <c r="O113" s="245">
        <v>0</v>
      </c>
      <c r="P113" s="54">
        <v>0</v>
      </c>
      <c r="Q113" s="299">
        <f t="shared" si="62"/>
        <v>0</v>
      </c>
      <c r="R113" s="165">
        <v>0</v>
      </c>
      <c r="S113" s="165">
        <v>0</v>
      </c>
      <c r="T113" s="165"/>
      <c r="U113" s="165">
        <v>0</v>
      </c>
      <c r="V113" s="165"/>
      <c r="W113" s="165"/>
      <c r="X113" s="165">
        <f t="shared" si="67"/>
        <v>0</v>
      </c>
      <c r="Y113" s="301" t="s">
        <v>578</v>
      </c>
      <c r="Z113" s="288"/>
      <c r="AA113" s="316"/>
      <c r="AB113" s="329"/>
      <c r="AC113" s="316"/>
    </row>
    <row r="114" spans="1:29" ht="28.5" hidden="1" customHeight="1" x14ac:dyDescent="0.2">
      <c r="A114" s="6" t="s">
        <v>76</v>
      </c>
      <c r="B114" s="79">
        <v>804</v>
      </c>
      <c r="C114" s="43" t="s">
        <v>129</v>
      </c>
      <c r="D114" s="43" t="s">
        <v>134</v>
      </c>
      <c r="E114" s="43" t="s">
        <v>19</v>
      </c>
      <c r="F114" s="89" t="s">
        <v>77</v>
      </c>
      <c r="G114" s="8"/>
      <c r="H114" s="204">
        <f t="shared" ref="H114:N114" si="71">SUM(H115:H117)</f>
        <v>0</v>
      </c>
      <c r="I114" s="204">
        <f t="shared" si="71"/>
        <v>0</v>
      </c>
      <c r="J114" s="204">
        <f t="shared" si="71"/>
        <v>0</v>
      </c>
      <c r="K114" s="248">
        <f t="shared" si="71"/>
        <v>0</v>
      </c>
      <c r="L114" s="248">
        <f t="shared" si="71"/>
        <v>0</v>
      </c>
      <c r="M114" s="248">
        <f t="shared" si="71"/>
        <v>0</v>
      </c>
      <c r="N114" s="248">
        <f t="shared" si="71"/>
        <v>0</v>
      </c>
      <c r="O114" s="204">
        <f>SUM(O115:O117)</f>
        <v>0</v>
      </c>
      <c r="P114" s="437">
        <f>SUM(P115:P117)</f>
        <v>0</v>
      </c>
      <c r="Q114" s="299">
        <f t="shared" si="62"/>
        <v>0</v>
      </c>
      <c r="R114" s="353">
        <f t="shared" ref="R114:U114" si="72">SUM(R115:R117)</f>
        <v>0</v>
      </c>
      <c r="S114" s="353">
        <f t="shared" si="72"/>
        <v>0</v>
      </c>
      <c r="T114" s="353">
        <f t="shared" si="72"/>
        <v>0</v>
      </c>
      <c r="U114" s="353">
        <f t="shared" si="72"/>
        <v>0</v>
      </c>
      <c r="V114" s="353"/>
      <c r="W114" s="353"/>
      <c r="X114" s="165">
        <f t="shared" si="67"/>
        <v>0</v>
      </c>
      <c r="Y114" s="301" t="s">
        <v>579</v>
      </c>
      <c r="Z114" s="288"/>
      <c r="AA114" s="316"/>
      <c r="AB114" s="395"/>
      <c r="AC114" s="316"/>
    </row>
    <row r="115" spans="1:29" ht="28.5" hidden="1" customHeight="1" x14ac:dyDescent="0.2">
      <c r="A115" s="80" t="s">
        <v>132</v>
      </c>
      <c r="B115" s="41"/>
      <c r="C115" s="8"/>
      <c r="D115" s="30"/>
      <c r="E115" s="9" t="s">
        <v>46</v>
      </c>
      <c r="F115" s="297"/>
      <c r="G115" s="8" t="s">
        <v>79</v>
      </c>
      <c r="H115" s="249">
        <v>0</v>
      </c>
      <c r="I115" s="245">
        <f>SUM(J115:M115)</f>
        <v>0</v>
      </c>
      <c r="J115" s="249"/>
      <c r="K115" s="250"/>
      <c r="L115" s="250"/>
      <c r="M115" s="250">
        <v>0</v>
      </c>
      <c r="N115" s="247">
        <f>H115+I115</f>
        <v>0</v>
      </c>
      <c r="O115" s="249">
        <v>0</v>
      </c>
      <c r="P115" s="439">
        <v>0</v>
      </c>
      <c r="Q115" s="299">
        <f t="shared" si="62"/>
        <v>0</v>
      </c>
      <c r="R115" s="299"/>
      <c r="S115" s="299"/>
      <c r="T115" s="299"/>
      <c r="U115" s="299"/>
      <c r="V115" s="299"/>
      <c r="W115" s="299"/>
      <c r="X115" s="165">
        <f t="shared" si="67"/>
        <v>0</v>
      </c>
      <c r="Y115" s="301" t="s">
        <v>580</v>
      </c>
      <c r="Z115" s="288"/>
      <c r="AA115" s="316"/>
      <c r="AB115" s="391"/>
      <c r="AC115" s="316"/>
    </row>
    <row r="116" spans="1:29" ht="28.5" hidden="1" customHeight="1" x14ac:dyDescent="0.2">
      <c r="A116" s="40" t="s">
        <v>127</v>
      </c>
      <c r="B116" s="41"/>
      <c r="C116" s="8"/>
      <c r="D116" s="8"/>
      <c r="E116" s="9" t="s">
        <v>44</v>
      </c>
      <c r="F116" s="297"/>
      <c r="G116" s="8" t="s">
        <v>81</v>
      </c>
      <c r="H116" s="249">
        <v>0</v>
      </c>
      <c r="I116" s="245">
        <f>SUM(J116:M116)</f>
        <v>0</v>
      </c>
      <c r="J116" s="249">
        <v>0</v>
      </c>
      <c r="K116" s="250">
        <v>0</v>
      </c>
      <c r="L116" s="250">
        <v>0</v>
      </c>
      <c r="M116" s="250">
        <v>0</v>
      </c>
      <c r="N116" s="247">
        <f>H116+I116</f>
        <v>0</v>
      </c>
      <c r="O116" s="249">
        <v>0</v>
      </c>
      <c r="P116" s="439">
        <v>0</v>
      </c>
      <c r="Q116" s="299">
        <f t="shared" si="62"/>
        <v>0</v>
      </c>
      <c r="R116" s="299">
        <v>0</v>
      </c>
      <c r="S116" s="299"/>
      <c r="T116" s="299"/>
      <c r="U116" s="299"/>
      <c r="V116" s="299"/>
      <c r="W116" s="299"/>
      <c r="X116" s="165">
        <f t="shared" si="67"/>
        <v>0</v>
      </c>
      <c r="Y116" s="301" t="s">
        <v>581</v>
      </c>
      <c r="Z116" s="288"/>
      <c r="AA116" s="316"/>
      <c r="AB116" s="391"/>
      <c r="AC116" s="316"/>
    </row>
    <row r="117" spans="1:29" ht="28.5" hidden="1" customHeight="1" x14ac:dyDescent="0.2">
      <c r="A117" s="40" t="s">
        <v>127</v>
      </c>
      <c r="B117" s="41"/>
      <c r="C117" s="8"/>
      <c r="D117" s="30"/>
      <c r="E117" s="9" t="s">
        <v>46</v>
      </c>
      <c r="F117" s="297"/>
      <c r="G117" s="8" t="s">
        <v>81</v>
      </c>
      <c r="H117" s="249">
        <v>0</v>
      </c>
      <c r="I117" s="245">
        <f>SUM(J117:M117)</f>
        <v>0</v>
      </c>
      <c r="J117" s="249">
        <v>0</v>
      </c>
      <c r="K117" s="250">
        <v>0</v>
      </c>
      <c r="L117" s="250">
        <v>0</v>
      </c>
      <c r="M117" s="250">
        <v>0</v>
      </c>
      <c r="N117" s="247">
        <f>H117+I117</f>
        <v>0</v>
      </c>
      <c r="O117" s="249">
        <v>0</v>
      </c>
      <c r="P117" s="439">
        <v>0</v>
      </c>
      <c r="Q117" s="299">
        <f t="shared" si="62"/>
        <v>0</v>
      </c>
      <c r="R117" s="299">
        <v>0</v>
      </c>
      <c r="S117" s="299"/>
      <c r="T117" s="299"/>
      <c r="U117" s="299"/>
      <c r="V117" s="299"/>
      <c r="W117" s="299"/>
      <c r="X117" s="165">
        <f t="shared" si="67"/>
        <v>0</v>
      </c>
      <c r="Y117" s="301" t="s">
        <v>582</v>
      </c>
      <c r="Z117" s="288"/>
      <c r="AA117" s="316"/>
      <c r="AB117" s="391"/>
      <c r="AC117" s="316"/>
    </row>
    <row r="118" spans="1:29" ht="28.5" hidden="1" customHeight="1" x14ac:dyDescent="0.2">
      <c r="A118" s="81" t="s">
        <v>128</v>
      </c>
      <c r="B118" s="82">
        <v>804</v>
      </c>
      <c r="C118" s="83" t="s">
        <v>129</v>
      </c>
      <c r="D118" s="83" t="s">
        <v>134</v>
      </c>
      <c r="E118" s="84" t="s">
        <v>19</v>
      </c>
      <c r="F118" s="170" t="s">
        <v>19</v>
      </c>
      <c r="G118" s="83"/>
      <c r="H118" s="85">
        <f>H128+H151+H156+H158+H161</f>
        <v>2460890.0499999998</v>
      </c>
      <c r="I118" s="86"/>
      <c r="J118" s="85"/>
      <c r="K118" s="87"/>
      <c r="L118" s="87"/>
      <c r="M118" s="87"/>
      <c r="N118" s="88"/>
      <c r="O118" s="85">
        <f>O128+O151+O156+O158+O161</f>
        <v>2064052.5100000002</v>
      </c>
      <c r="P118" s="442">
        <f>P119+P120+P121+P122+P123+P124</f>
        <v>0</v>
      </c>
      <c r="Q118" s="299">
        <f t="shared" si="62"/>
        <v>0</v>
      </c>
      <c r="R118" s="299"/>
      <c r="S118" s="299"/>
      <c r="T118" s="299"/>
      <c r="U118" s="299"/>
      <c r="V118" s="299"/>
      <c r="W118" s="299"/>
      <c r="X118" s="165">
        <f t="shared" si="67"/>
        <v>0</v>
      </c>
      <c r="Y118" s="301" t="s">
        <v>583</v>
      </c>
      <c r="Z118" s="288"/>
      <c r="AA118" s="316"/>
      <c r="AB118" s="391"/>
      <c r="AC118" s="316"/>
    </row>
    <row r="119" spans="1:29" ht="21" hidden="1" customHeight="1" x14ac:dyDescent="0.2">
      <c r="A119" s="6" t="s">
        <v>26</v>
      </c>
      <c r="B119" s="98">
        <v>804</v>
      </c>
      <c r="C119" s="8" t="s">
        <v>129</v>
      </c>
      <c r="D119" s="30" t="s">
        <v>22</v>
      </c>
      <c r="E119" s="9" t="s">
        <v>23</v>
      </c>
      <c r="F119" s="297" t="s">
        <v>27</v>
      </c>
      <c r="G119" s="8"/>
      <c r="H119" s="31">
        <f>1088528.83+179607.17</f>
        <v>1268136</v>
      </c>
      <c r="I119" s="31">
        <f>SUM(J119:M119)</f>
        <v>0</v>
      </c>
      <c r="J119" s="31"/>
      <c r="K119" s="32"/>
      <c r="L119" s="32"/>
      <c r="M119" s="32"/>
      <c r="N119" s="33">
        <f>H119+I119</f>
        <v>1268136</v>
      </c>
      <c r="O119" s="31">
        <f>1088528.83+179607.17</f>
        <v>1268136</v>
      </c>
      <c r="P119" s="54">
        <v>0</v>
      </c>
      <c r="Q119" s="299">
        <f t="shared" si="62"/>
        <v>0</v>
      </c>
      <c r="R119" s="299"/>
      <c r="S119" s="299"/>
      <c r="T119" s="299"/>
      <c r="U119" s="299"/>
      <c r="V119" s="299"/>
      <c r="W119" s="299"/>
      <c r="X119" s="165">
        <f t="shared" si="67"/>
        <v>0</v>
      </c>
      <c r="Y119" s="301" t="s">
        <v>584</v>
      </c>
      <c r="Z119" s="288"/>
      <c r="AA119" s="316"/>
      <c r="AB119" s="391"/>
      <c r="AC119" s="316"/>
    </row>
    <row r="120" spans="1:29" ht="20.25" hidden="1" customHeight="1" x14ac:dyDescent="0.2">
      <c r="A120" s="6" t="s">
        <v>86</v>
      </c>
      <c r="B120" s="184"/>
      <c r="C120" s="169"/>
      <c r="D120" s="169"/>
      <c r="E120" s="185" t="s">
        <v>44</v>
      </c>
      <c r="F120" s="169" t="s">
        <v>45</v>
      </c>
      <c r="G120" s="169"/>
      <c r="H120" s="236"/>
      <c r="I120" s="163"/>
      <c r="J120" s="236"/>
      <c r="K120" s="237"/>
      <c r="L120" s="237"/>
      <c r="M120" s="237"/>
      <c r="N120" s="238"/>
      <c r="O120" s="236"/>
      <c r="P120" s="443">
        <v>0</v>
      </c>
      <c r="Q120" s="299">
        <f t="shared" si="62"/>
        <v>0</v>
      </c>
      <c r="R120" s="299"/>
      <c r="S120" s="299"/>
      <c r="T120" s="299"/>
      <c r="U120" s="299"/>
      <c r="V120" s="299"/>
      <c r="W120" s="299"/>
      <c r="X120" s="165">
        <f t="shared" si="67"/>
        <v>0</v>
      </c>
      <c r="Y120" s="301" t="s">
        <v>585</v>
      </c>
      <c r="Z120" s="288"/>
      <c r="AA120" s="316"/>
      <c r="AB120" s="391"/>
      <c r="AC120" s="316"/>
    </row>
    <row r="121" spans="1:29" ht="19.5" hidden="1" customHeight="1" x14ac:dyDescent="0.2">
      <c r="A121" s="6" t="s">
        <v>47</v>
      </c>
      <c r="B121" s="184"/>
      <c r="C121" s="169"/>
      <c r="D121" s="169"/>
      <c r="E121" s="185" t="s">
        <v>46</v>
      </c>
      <c r="F121" s="169" t="s">
        <v>48</v>
      </c>
      <c r="G121" s="169" t="s">
        <v>49</v>
      </c>
      <c r="H121" s="236"/>
      <c r="I121" s="163"/>
      <c r="J121" s="236"/>
      <c r="K121" s="237"/>
      <c r="L121" s="237"/>
      <c r="M121" s="237"/>
      <c r="N121" s="238"/>
      <c r="O121" s="236"/>
      <c r="P121" s="443">
        <v>0</v>
      </c>
      <c r="Q121" s="299">
        <f t="shared" si="62"/>
        <v>0</v>
      </c>
      <c r="R121" s="299"/>
      <c r="S121" s="299"/>
      <c r="T121" s="299"/>
      <c r="U121" s="299"/>
      <c r="V121" s="299"/>
      <c r="W121" s="299"/>
      <c r="X121" s="165">
        <f t="shared" si="67"/>
        <v>0</v>
      </c>
      <c r="Y121" s="301" t="s">
        <v>586</v>
      </c>
      <c r="Z121" s="288"/>
      <c r="AA121" s="316"/>
      <c r="AB121" s="391"/>
      <c r="AC121" s="316"/>
    </row>
    <row r="122" spans="1:29" ht="18.75" hidden="1" customHeight="1" x14ac:dyDescent="0.2">
      <c r="A122" s="239" t="s">
        <v>57</v>
      </c>
      <c r="B122" s="184"/>
      <c r="C122" s="169"/>
      <c r="D122" s="169"/>
      <c r="E122" s="185" t="s">
        <v>46</v>
      </c>
      <c r="F122" s="169" t="s">
        <v>58</v>
      </c>
      <c r="G122" s="169" t="s">
        <v>64</v>
      </c>
      <c r="H122" s="236"/>
      <c r="I122" s="163"/>
      <c r="J122" s="236"/>
      <c r="K122" s="237"/>
      <c r="L122" s="237"/>
      <c r="M122" s="237"/>
      <c r="N122" s="238"/>
      <c r="O122" s="236"/>
      <c r="P122" s="443">
        <v>0</v>
      </c>
      <c r="Q122" s="299">
        <f t="shared" si="62"/>
        <v>0</v>
      </c>
      <c r="R122" s="299"/>
      <c r="S122" s="299"/>
      <c r="T122" s="299"/>
      <c r="U122" s="299"/>
      <c r="V122" s="299"/>
      <c r="W122" s="299"/>
      <c r="X122" s="165">
        <f t="shared" si="67"/>
        <v>0</v>
      </c>
      <c r="Y122" s="301" t="s">
        <v>587</v>
      </c>
      <c r="Z122" s="288"/>
      <c r="AA122" s="316"/>
      <c r="AB122" s="391"/>
      <c r="AC122" s="316"/>
    </row>
    <row r="123" spans="1:29" ht="15.75" hidden="1" customHeight="1" x14ac:dyDescent="0.2">
      <c r="A123" s="80" t="s">
        <v>76</v>
      </c>
      <c r="B123" s="240"/>
      <c r="C123" s="169"/>
      <c r="D123" s="169"/>
      <c r="E123" s="185" t="s">
        <v>44</v>
      </c>
      <c r="F123" s="169" t="s">
        <v>77</v>
      </c>
      <c r="G123" s="169" t="s">
        <v>81</v>
      </c>
      <c r="H123" s="236"/>
      <c r="I123" s="163"/>
      <c r="J123" s="236"/>
      <c r="K123" s="237"/>
      <c r="L123" s="237"/>
      <c r="M123" s="237"/>
      <c r="N123" s="238"/>
      <c r="O123" s="236"/>
      <c r="P123" s="443">
        <v>0</v>
      </c>
      <c r="Q123" s="299">
        <f t="shared" si="62"/>
        <v>0</v>
      </c>
      <c r="R123" s="299"/>
      <c r="S123" s="299"/>
      <c r="T123" s="299"/>
      <c r="U123" s="299"/>
      <c r="V123" s="299"/>
      <c r="W123" s="299"/>
      <c r="X123" s="165">
        <f t="shared" si="67"/>
        <v>0</v>
      </c>
      <c r="Y123" s="301" t="s">
        <v>588</v>
      </c>
      <c r="Z123" s="288"/>
      <c r="AA123" s="316"/>
      <c r="AB123" s="391"/>
      <c r="AC123" s="316"/>
    </row>
    <row r="124" spans="1:29" ht="21" hidden="1" customHeight="1" x14ac:dyDescent="0.2">
      <c r="A124" s="80" t="s">
        <v>76</v>
      </c>
      <c r="B124" s="240"/>
      <c r="C124" s="169"/>
      <c r="D124" s="169"/>
      <c r="E124" s="185" t="s">
        <v>46</v>
      </c>
      <c r="F124" s="169" t="s">
        <v>77</v>
      </c>
      <c r="G124" s="169" t="s">
        <v>81</v>
      </c>
      <c r="H124" s="236"/>
      <c r="I124" s="163"/>
      <c r="J124" s="236"/>
      <c r="K124" s="237"/>
      <c r="L124" s="237"/>
      <c r="M124" s="237"/>
      <c r="N124" s="238"/>
      <c r="O124" s="236"/>
      <c r="P124" s="443">
        <v>0</v>
      </c>
      <c r="Q124" s="299">
        <f t="shared" si="62"/>
        <v>0</v>
      </c>
      <c r="R124" s="299"/>
      <c r="S124" s="299"/>
      <c r="T124" s="299"/>
      <c r="U124" s="299"/>
      <c r="V124" s="299"/>
      <c r="W124" s="299"/>
      <c r="X124" s="165">
        <f t="shared" si="67"/>
        <v>0</v>
      </c>
      <c r="Y124" s="301" t="s">
        <v>589</v>
      </c>
      <c r="Z124" s="288"/>
      <c r="AA124" s="316"/>
      <c r="AB124" s="391"/>
      <c r="AC124" s="316"/>
    </row>
    <row r="125" spans="1:29" ht="21" hidden="1" customHeight="1" x14ac:dyDescent="0.2">
      <c r="A125" s="60" t="s">
        <v>65</v>
      </c>
      <c r="B125" s="240"/>
      <c r="C125" s="169"/>
      <c r="D125" s="169"/>
      <c r="E125" s="185" t="s">
        <v>46</v>
      </c>
      <c r="F125" s="169" t="s">
        <v>493</v>
      </c>
      <c r="G125" s="169" t="s">
        <v>69</v>
      </c>
      <c r="H125" s="236"/>
      <c r="I125" s="163"/>
      <c r="J125" s="236"/>
      <c r="K125" s="237"/>
      <c r="L125" s="237"/>
      <c r="M125" s="237"/>
      <c r="N125" s="238"/>
      <c r="O125" s="236"/>
      <c r="P125" s="443">
        <v>0</v>
      </c>
      <c r="Q125" s="299">
        <f t="shared" si="62"/>
        <v>0</v>
      </c>
      <c r="R125" s="299">
        <v>0</v>
      </c>
      <c r="S125" s="299">
        <v>0</v>
      </c>
      <c r="T125" s="299"/>
      <c r="U125" s="299"/>
      <c r="V125" s="299"/>
      <c r="W125" s="299"/>
      <c r="X125" s="165">
        <f t="shared" si="67"/>
        <v>0</v>
      </c>
      <c r="Y125" s="301" t="s">
        <v>590</v>
      </c>
      <c r="Z125" s="288"/>
      <c r="AA125" s="316"/>
      <c r="AB125" s="391"/>
      <c r="AC125" s="316"/>
    </row>
    <row r="126" spans="1:29" ht="21" hidden="1" customHeight="1" x14ac:dyDescent="0.2">
      <c r="A126" s="80" t="s">
        <v>47</v>
      </c>
      <c r="B126" s="240"/>
      <c r="C126" s="169"/>
      <c r="D126" s="169"/>
      <c r="E126" s="185" t="s">
        <v>46</v>
      </c>
      <c r="F126" s="169" t="s">
        <v>48</v>
      </c>
      <c r="G126" s="169" t="s">
        <v>49</v>
      </c>
      <c r="H126" s="236"/>
      <c r="I126" s="163"/>
      <c r="J126" s="236"/>
      <c r="K126" s="237"/>
      <c r="L126" s="237"/>
      <c r="M126" s="237"/>
      <c r="N126" s="238"/>
      <c r="O126" s="236"/>
      <c r="P126" s="443">
        <v>0</v>
      </c>
      <c r="Q126" s="299">
        <f t="shared" si="62"/>
        <v>0</v>
      </c>
      <c r="R126" s="299">
        <v>0</v>
      </c>
      <c r="S126" s="299">
        <v>0</v>
      </c>
      <c r="T126" s="299"/>
      <c r="U126" s="299"/>
      <c r="V126" s="299"/>
      <c r="W126" s="299"/>
      <c r="X126" s="165">
        <f t="shared" si="67"/>
        <v>0</v>
      </c>
      <c r="Y126" s="301" t="s">
        <v>591</v>
      </c>
      <c r="Z126" s="288"/>
      <c r="AA126" s="316"/>
      <c r="AB126" s="391"/>
      <c r="AC126" s="316"/>
    </row>
    <row r="127" spans="1:29" ht="21" hidden="1" customHeight="1" x14ac:dyDescent="0.2">
      <c r="A127" s="38" t="s">
        <v>106</v>
      </c>
      <c r="B127" s="240">
        <v>804</v>
      </c>
      <c r="C127" s="169" t="s">
        <v>83</v>
      </c>
      <c r="D127" s="30" t="s">
        <v>34</v>
      </c>
      <c r="E127" s="185" t="s">
        <v>44</v>
      </c>
      <c r="F127" s="169" t="s">
        <v>58</v>
      </c>
      <c r="G127" s="169" t="s">
        <v>60</v>
      </c>
      <c r="H127" s="236"/>
      <c r="I127" s="163"/>
      <c r="J127" s="236"/>
      <c r="K127" s="237"/>
      <c r="L127" s="237"/>
      <c r="M127" s="237"/>
      <c r="N127" s="238"/>
      <c r="O127" s="236"/>
      <c r="P127" s="443">
        <v>0</v>
      </c>
      <c r="Q127" s="299">
        <f t="shared" si="62"/>
        <v>0</v>
      </c>
      <c r="R127" s="299">
        <v>0</v>
      </c>
      <c r="S127" s="299"/>
      <c r="T127" s="299"/>
      <c r="U127" s="299"/>
      <c r="V127" s="299"/>
      <c r="W127" s="299"/>
      <c r="X127" s="165">
        <f t="shared" si="67"/>
        <v>0</v>
      </c>
      <c r="Y127" s="301" t="s">
        <v>595</v>
      </c>
      <c r="Z127" s="288"/>
      <c r="AA127" s="316"/>
      <c r="AB127" s="391"/>
      <c r="AC127" s="316"/>
    </row>
    <row r="128" spans="1:29" s="52" customFormat="1" ht="28.5" customHeight="1" x14ac:dyDescent="0.2">
      <c r="A128" s="81" t="s">
        <v>135</v>
      </c>
      <c r="B128" s="82"/>
      <c r="C128" s="83"/>
      <c r="D128" s="83"/>
      <c r="E128" s="84"/>
      <c r="F128" s="83"/>
      <c r="G128" s="83"/>
      <c r="H128" s="85">
        <f>H129+H153+H157+H159+H164</f>
        <v>2340890.0499999998</v>
      </c>
      <c r="I128" s="86"/>
      <c r="J128" s="85"/>
      <c r="K128" s="87"/>
      <c r="L128" s="87"/>
      <c r="M128" s="87"/>
      <c r="N128" s="88"/>
      <c r="O128" s="85">
        <f t="shared" ref="O128" si="73">O129+O153+O157+O159+O164</f>
        <v>1964052.5100000002</v>
      </c>
      <c r="P128" s="259">
        <f t="shared" ref="P128:W128" si="74">P129+P153+P157+P159+P164+P194+P195</f>
        <v>2064371.18</v>
      </c>
      <c r="Q128" s="259">
        <f t="shared" si="74"/>
        <v>5380450.5199999996</v>
      </c>
      <c r="R128" s="259">
        <f t="shared" si="74"/>
        <v>7246.48</v>
      </c>
      <c r="S128" s="259">
        <f t="shared" si="74"/>
        <v>0</v>
      </c>
      <c r="T128" s="259">
        <f t="shared" si="74"/>
        <v>446414</v>
      </c>
      <c r="U128" s="259">
        <f t="shared" si="74"/>
        <v>926790.04</v>
      </c>
      <c r="V128" s="259">
        <f t="shared" si="74"/>
        <v>3999999.9999999995</v>
      </c>
      <c r="W128" s="259">
        <f t="shared" si="74"/>
        <v>0</v>
      </c>
      <c r="X128" s="259">
        <f>X129+X153+X157+X159+X164+X194+X195</f>
        <v>7444821.6999999993</v>
      </c>
      <c r="Y128" s="383"/>
      <c r="Z128" s="289"/>
      <c r="AA128" s="319"/>
      <c r="AB128" s="396"/>
      <c r="AC128" s="319"/>
    </row>
    <row r="129" spans="1:29" ht="12.75" customHeight="1" x14ac:dyDescent="0.2">
      <c r="A129" s="23" t="s">
        <v>41</v>
      </c>
      <c r="B129" s="79">
        <v>804</v>
      </c>
      <c r="C129" s="25" t="s">
        <v>136</v>
      </c>
      <c r="D129" s="89" t="s">
        <v>18</v>
      </c>
      <c r="E129" s="26" t="s">
        <v>19</v>
      </c>
      <c r="F129" s="25" t="s">
        <v>42</v>
      </c>
      <c r="G129" s="8"/>
      <c r="H129" s="90">
        <f>H138+H147+H132</f>
        <v>1834187.7</v>
      </c>
      <c r="I129" s="90" t="e">
        <f>#REF!+I138+I147+I132</f>
        <v>#REF!</v>
      </c>
      <c r="J129" s="90" t="e">
        <f>#REF!+J138+J147+J132</f>
        <v>#REF!</v>
      </c>
      <c r="K129" s="91" t="e">
        <f>#REF!+K138+K147+K132</f>
        <v>#REF!</v>
      </c>
      <c r="L129" s="91" t="e">
        <f>#REF!+L138+L147+L132</f>
        <v>#REF!</v>
      </c>
      <c r="M129" s="91" t="e">
        <f>#REF!+M138+M147+M132</f>
        <v>#REF!</v>
      </c>
      <c r="N129" s="92" t="e">
        <f>#REF!+N138+N147+N132</f>
        <v>#REF!</v>
      </c>
      <c r="O129" s="90">
        <f>O138+O147+O132</f>
        <v>1527350.1600000001</v>
      </c>
      <c r="P129" s="424">
        <f>P130+P132+P138+P147+P137</f>
        <v>1806663.18</v>
      </c>
      <c r="Q129" s="424">
        <f t="shared" ref="Q129" si="75">Q130+Q132+Q138+Q147+Q137</f>
        <v>1285605.29</v>
      </c>
      <c r="R129" s="424">
        <f>R130+R132+R138+R147+R137</f>
        <v>7246.48</v>
      </c>
      <c r="S129" s="424">
        <f t="shared" ref="S129:X129" si="76">S130+S132+S138+S147+S137</f>
        <v>0</v>
      </c>
      <c r="T129" s="424">
        <f t="shared" si="76"/>
        <v>446414</v>
      </c>
      <c r="U129" s="424">
        <f t="shared" si="76"/>
        <v>831944.81</v>
      </c>
      <c r="V129" s="424">
        <f t="shared" si="76"/>
        <v>0</v>
      </c>
      <c r="W129" s="424">
        <f t="shared" si="76"/>
        <v>0</v>
      </c>
      <c r="X129" s="424">
        <f t="shared" si="76"/>
        <v>3092268.47</v>
      </c>
      <c r="Y129" s="301"/>
      <c r="Z129" s="288"/>
      <c r="AA129" s="288"/>
      <c r="AB129" s="397"/>
      <c r="AC129" s="316"/>
    </row>
    <row r="130" spans="1:29" s="52" customFormat="1" ht="12.75" customHeight="1" x14ac:dyDescent="0.2">
      <c r="A130" s="48" t="s">
        <v>47</v>
      </c>
      <c r="B130" s="42">
        <v>804</v>
      </c>
      <c r="C130" s="43" t="s">
        <v>136</v>
      </c>
      <c r="D130" s="43" t="s">
        <v>137</v>
      </c>
      <c r="E130" s="44" t="s">
        <v>46</v>
      </c>
      <c r="F130" s="43" t="s">
        <v>48</v>
      </c>
      <c r="G130" s="43"/>
      <c r="H130" s="45">
        <f t="shared" ref="H130:N130" si="77">H131+H132</f>
        <v>300000</v>
      </c>
      <c r="I130" s="45">
        <f t="shared" si="77"/>
        <v>0</v>
      </c>
      <c r="J130" s="45">
        <f t="shared" si="77"/>
        <v>0</v>
      </c>
      <c r="K130" s="46">
        <f t="shared" si="77"/>
        <v>0</v>
      </c>
      <c r="L130" s="46">
        <f t="shared" si="77"/>
        <v>0</v>
      </c>
      <c r="M130" s="46">
        <f t="shared" si="77"/>
        <v>0</v>
      </c>
      <c r="N130" s="47">
        <f t="shared" si="77"/>
        <v>300000</v>
      </c>
      <c r="O130" s="45">
        <f>O131+O132</f>
        <v>300000</v>
      </c>
      <c r="P130" s="353">
        <f>P131</f>
        <v>866154.19</v>
      </c>
      <c r="Q130" s="353">
        <f t="shared" ref="Q130:X130" si="78">Q131</f>
        <v>0</v>
      </c>
      <c r="R130" s="353">
        <f t="shared" si="78"/>
        <v>0</v>
      </c>
      <c r="S130" s="353">
        <f t="shared" si="78"/>
        <v>0</v>
      </c>
      <c r="T130" s="353">
        <f t="shared" si="78"/>
        <v>0</v>
      </c>
      <c r="U130" s="353">
        <f t="shared" si="78"/>
        <v>0</v>
      </c>
      <c r="V130" s="353">
        <f t="shared" si="78"/>
        <v>0</v>
      </c>
      <c r="W130" s="353"/>
      <c r="X130" s="353">
        <f t="shared" si="78"/>
        <v>866154.19</v>
      </c>
      <c r="Y130" s="369"/>
      <c r="Z130" s="289"/>
      <c r="AA130" s="319"/>
      <c r="AB130" s="395"/>
      <c r="AC130" s="319"/>
    </row>
    <row r="131" spans="1:29" ht="12.75" customHeight="1" x14ac:dyDescent="0.2">
      <c r="A131" s="48" t="s">
        <v>47</v>
      </c>
      <c r="B131" s="79"/>
      <c r="C131" s="25"/>
      <c r="D131" s="89"/>
      <c r="E131" s="26"/>
      <c r="F131" s="25"/>
      <c r="G131" s="8" t="s">
        <v>49</v>
      </c>
      <c r="H131" s="54"/>
      <c r="I131" s="31"/>
      <c r="J131" s="54"/>
      <c r="K131" s="54"/>
      <c r="L131" s="54"/>
      <c r="M131" s="54"/>
      <c r="N131" s="33"/>
      <c r="O131" s="54"/>
      <c r="P131" s="260">
        <v>866154.19</v>
      </c>
      <c r="Q131" s="260">
        <f>R131+S131+T131+U131+V131</f>
        <v>0</v>
      </c>
      <c r="R131" s="260">
        <v>0</v>
      </c>
      <c r="S131" s="260"/>
      <c r="T131" s="260"/>
      <c r="U131" s="260">
        <v>0</v>
      </c>
      <c r="V131" s="260"/>
      <c r="W131" s="260"/>
      <c r="X131" s="165">
        <f>P131+Q131</f>
        <v>866154.19</v>
      </c>
      <c r="Y131" s="301" t="s">
        <v>594</v>
      </c>
      <c r="Z131" s="288"/>
      <c r="AA131" s="493"/>
      <c r="AB131" s="389"/>
      <c r="AC131" s="316"/>
    </row>
    <row r="132" spans="1:29" s="52" customFormat="1" ht="12.75" hidden="1" customHeight="1" x14ac:dyDescent="0.2">
      <c r="A132" s="48" t="s">
        <v>47</v>
      </c>
      <c r="B132" s="42">
        <v>804</v>
      </c>
      <c r="C132" s="43" t="s">
        <v>136</v>
      </c>
      <c r="D132" s="43" t="s">
        <v>137</v>
      </c>
      <c r="E132" s="44" t="s">
        <v>46</v>
      </c>
      <c r="F132" s="43" t="s">
        <v>88</v>
      </c>
      <c r="G132" s="43"/>
      <c r="H132" s="45">
        <f t="shared" ref="H132:N132" si="79">SUM(H133:H136)</f>
        <v>300000</v>
      </c>
      <c r="I132" s="45">
        <f t="shared" si="79"/>
        <v>0</v>
      </c>
      <c r="J132" s="45">
        <f t="shared" si="79"/>
        <v>0</v>
      </c>
      <c r="K132" s="46">
        <f t="shared" si="79"/>
        <v>0</v>
      </c>
      <c r="L132" s="46">
        <f t="shared" si="79"/>
        <v>0</v>
      </c>
      <c r="M132" s="46">
        <f t="shared" si="79"/>
        <v>0</v>
      </c>
      <c r="N132" s="46">
        <f t="shared" si="79"/>
        <v>300000</v>
      </c>
      <c r="O132" s="45">
        <f>SUM(O133:O136)</f>
        <v>300000</v>
      </c>
      <c r="P132" s="353">
        <f>SUM(P133:P136)</f>
        <v>0</v>
      </c>
      <c r="Q132" s="260">
        <f t="shared" ref="Q132:Q137" si="80">R132+S132+T132+U132+V132</f>
        <v>0</v>
      </c>
      <c r="R132" s="315"/>
      <c r="S132" s="315"/>
      <c r="T132" s="315"/>
      <c r="U132" s="315"/>
      <c r="V132" s="315"/>
      <c r="W132" s="315"/>
      <c r="X132" s="165">
        <f t="shared" ref="X132:X137" si="81">P132+Q132</f>
        <v>0</v>
      </c>
      <c r="Y132" s="369"/>
      <c r="Z132" s="289"/>
      <c r="AA132" s="319"/>
      <c r="AB132" s="387"/>
      <c r="AC132" s="319"/>
    </row>
    <row r="133" spans="1:29" ht="12.75" hidden="1" customHeight="1" x14ac:dyDescent="0.2">
      <c r="A133" s="48" t="s">
        <v>47</v>
      </c>
      <c r="B133" s="41"/>
      <c r="C133" s="8"/>
      <c r="D133" s="8"/>
      <c r="E133" s="9"/>
      <c r="F133" s="8"/>
      <c r="G133" s="8" t="s">
        <v>90</v>
      </c>
      <c r="H133" s="31">
        <v>300000</v>
      </c>
      <c r="I133" s="31">
        <f>SUM(J133:M133)</f>
        <v>0</v>
      </c>
      <c r="J133" s="31">
        <v>0</v>
      </c>
      <c r="K133" s="32">
        <v>0</v>
      </c>
      <c r="L133" s="32">
        <v>0</v>
      </c>
      <c r="M133" s="32">
        <v>0</v>
      </c>
      <c r="N133" s="33">
        <f>H133+I133</f>
        <v>300000</v>
      </c>
      <c r="O133" s="31">
        <v>300000</v>
      </c>
      <c r="P133" s="260">
        <v>0</v>
      </c>
      <c r="Q133" s="260">
        <f t="shared" si="80"/>
        <v>0</v>
      </c>
      <c r="R133" s="165"/>
      <c r="S133" s="165"/>
      <c r="T133" s="165"/>
      <c r="U133" s="165"/>
      <c r="V133" s="165"/>
      <c r="W133" s="165"/>
      <c r="X133" s="165">
        <f t="shared" si="81"/>
        <v>0</v>
      </c>
      <c r="Y133" s="301"/>
      <c r="Z133" s="288"/>
      <c r="AA133" s="316"/>
      <c r="AB133" s="329"/>
      <c r="AC133" s="316"/>
    </row>
    <row r="134" spans="1:29" ht="12" hidden="1" customHeight="1" x14ac:dyDescent="0.2">
      <c r="A134" s="48" t="s">
        <v>47</v>
      </c>
      <c r="B134" s="41"/>
      <c r="C134" s="8"/>
      <c r="D134" s="8"/>
      <c r="E134" s="9"/>
      <c r="F134" s="8"/>
      <c r="G134" s="8" t="s">
        <v>138</v>
      </c>
      <c r="H134" s="31">
        <v>0</v>
      </c>
      <c r="I134" s="31">
        <f>SUM(J134:M134)</f>
        <v>0</v>
      </c>
      <c r="J134" s="31">
        <v>0</v>
      </c>
      <c r="K134" s="32">
        <v>0</v>
      </c>
      <c r="L134" s="32">
        <v>0</v>
      </c>
      <c r="M134" s="32">
        <v>0</v>
      </c>
      <c r="N134" s="33">
        <f>H134+I134</f>
        <v>0</v>
      </c>
      <c r="O134" s="31">
        <v>0</v>
      </c>
      <c r="P134" s="260">
        <v>0</v>
      </c>
      <c r="Q134" s="260">
        <f t="shared" si="80"/>
        <v>0</v>
      </c>
      <c r="R134" s="165"/>
      <c r="S134" s="165"/>
      <c r="T134" s="165"/>
      <c r="U134" s="165"/>
      <c r="V134" s="165"/>
      <c r="W134" s="165"/>
      <c r="X134" s="165">
        <f t="shared" si="81"/>
        <v>0</v>
      </c>
      <c r="Y134" s="301"/>
      <c r="Z134" s="288"/>
      <c r="AA134" s="316"/>
      <c r="AB134" s="329"/>
      <c r="AC134" s="316"/>
    </row>
    <row r="135" spans="1:29" ht="12.75" hidden="1" customHeight="1" x14ac:dyDescent="0.2">
      <c r="A135" s="48" t="s">
        <v>47</v>
      </c>
      <c r="B135" s="41"/>
      <c r="C135" s="8"/>
      <c r="D135" s="8"/>
      <c r="E135" s="9"/>
      <c r="F135" s="8"/>
      <c r="G135" s="8" t="s">
        <v>139</v>
      </c>
      <c r="H135" s="31">
        <v>0</v>
      </c>
      <c r="I135" s="31">
        <f>SUM(J135:M135)</f>
        <v>0</v>
      </c>
      <c r="J135" s="31">
        <v>0</v>
      </c>
      <c r="K135" s="32">
        <v>0</v>
      </c>
      <c r="L135" s="32">
        <v>0</v>
      </c>
      <c r="M135" s="32">
        <v>0</v>
      </c>
      <c r="N135" s="33">
        <f>H135+I135</f>
        <v>0</v>
      </c>
      <c r="O135" s="31">
        <v>0</v>
      </c>
      <c r="P135" s="260">
        <v>0</v>
      </c>
      <c r="Q135" s="260">
        <f t="shared" si="80"/>
        <v>0</v>
      </c>
      <c r="R135" s="165"/>
      <c r="S135" s="165"/>
      <c r="T135" s="165"/>
      <c r="U135" s="165"/>
      <c r="V135" s="165"/>
      <c r="W135" s="165"/>
      <c r="X135" s="165">
        <f t="shared" si="81"/>
        <v>0</v>
      </c>
      <c r="Y135" s="301"/>
      <c r="Z135" s="288"/>
      <c r="AA135" s="316"/>
      <c r="AB135" s="329"/>
      <c r="AC135" s="316"/>
    </row>
    <row r="136" spans="1:29" ht="13.5" hidden="1" customHeight="1" x14ac:dyDescent="0.2">
      <c r="A136" s="80" t="s">
        <v>47</v>
      </c>
      <c r="B136" s="41"/>
      <c r="C136" s="8"/>
      <c r="D136" s="8"/>
      <c r="E136" s="9"/>
      <c r="F136" s="8"/>
      <c r="G136" s="8" t="s">
        <v>49</v>
      </c>
      <c r="H136" s="31">
        <v>0</v>
      </c>
      <c r="I136" s="31">
        <f>SUM(J136:M136)</f>
        <v>0</v>
      </c>
      <c r="J136" s="31">
        <v>0</v>
      </c>
      <c r="K136" s="32">
        <v>0</v>
      </c>
      <c r="L136" s="32">
        <v>0</v>
      </c>
      <c r="M136" s="32">
        <v>0</v>
      </c>
      <c r="N136" s="33">
        <f>H136+I136</f>
        <v>0</v>
      </c>
      <c r="O136" s="31">
        <v>0</v>
      </c>
      <c r="P136" s="260"/>
      <c r="Q136" s="260">
        <f t="shared" si="80"/>
        <v>0</v>
      </c>
      <c r="R136" s="165"/>
      <c r="S136" s="165"/>
      <c r="T136" s="165"/>
      <c r="U136" s="165"/>
      <c r="V136" s="165"/>
      <c r="W136" s="165"/>
      <c r="X136" s="165">
        <f t="shared" si="81"/>
        <v>0</v>
      </c>
      <c r="Y136" s="301"/>
      <c r="Z136" s="288"/>
      <c r="AA136" s="316"/>
      <c r="AB136" s="329"/>
      <c r="AC136" s="316"/>
    </row>
    <row r="137" spans="1:29" ht="13.5" customHeight="1" x14ac:dyDescent="0.2">
      <c r="A137" s="48" t="s">
        <v>87</v>
      </c>
      <c r="B137" s="41"/>
      <c r="C137" s="8"/>
      <c r="D137" s="43" t="s">
        <v>137</v>
      </c>
      <c r="E137" s="44" t="s">
        <v>46</v>
      </c>
      <c r="F137" s="170" t="s">
        <v>88</v>
      </c>
      <c r="G137" s="297" t="s">
        <v>90</v>
      </c>
      <c r="H137" s="165"/>
      <c r="I137" s="165"/>
      <c r="J137" s="165"/>
      <c r="K137" s="301"/>
      <c r="L137" s="301"/>
      <c r="M137" s="301"/>
      <c r="N137" s="293"/>
      <c r="O137" s="165"/>
      <c r="P137" s="260">
        <v>433664.26</v>
      </c>
      <c r="Q137" s="260">
        <f t="shared" si="80"/>
        <v>-16482.330000000002</v>
      </c>
      <c r="R137" s="165">
        <v>-16482.330000000002</v>
      </c>
      <c r="S137" s="165"/>
      <c r="T137" s="165"/>
      <c r="U137" s="165"/>
      <c r="V137" s="165"/>
      <c r="W137" s="165"/>
      <c r="X137" s="165">
        <f t="shared" si="81"/>
        <v>417181.93</v>
      </c>
      <c r="Y137" s="301"/>
      <c r="Z137" s="288"/>
      <c r="AA137" s="288"/>
      <c r="AB137" s="329"/>
      <c r="AC137" s="316"/>
    </row>
    <row r="138" spans="1:29" s="321" customFormat="1" x14ac:dyDescent="0.2">
      <c r="A138" s="137" t="s">
        <v>50</v>
      </c>
      <c r="B138" s="508">
        <v>804</v>
      </c>
      <c r="C138" s="170" t="s">
        <v>136</v>
      </c>
      <c r="D138" s="170" t="s">
        <v>137</v>
      </c>
      <c r="E138" s="456" t="s">
        <v>46</v>
      </c>
      <c r="F138" s="170" t="s">
        <v>51</v>
      </c>
      <c r="G138" s="170"/>
      <c r="H138" s="315">
        <f t="shared" ref="H138:N138" si="82">SUM(H139:H146)</f>
        <v>639360.46</v>
      </c>
      <c r="I138" s="315">
        <f t="shared" si="82"/>
        <v>156000</v>
      </c>
      <c r="J138" s="315">
        <f t="shared" si="82"/>
        <v>0</v>
      </c>
      <c r="K138" s="369">
        <f t="shared" si="82"/>
        <v>0</v>
      </c>
      <c r="L138" s="369">
        <f t="shared" si="82"/>
        <v>0</v>
      </c>
      <c r="M138" s="369">
        <f t="shared" si="82"/>
        <v>156000</v>
      </c>
      <c r="N138" s="370">
        <f t="shared" si="82"/>
        <v>795360.46</v>
      </c>
      <c r="O138" s="315">
        <f>SUM(O139:O146)</f>
        <v>511488.36800000002</v>
      </c>
      <c r="P138" s="353">
        <f>SUM(P139:P146)</f>
        <v>189276.72</v>
      </c>
      <c r="Q138" s="353">
        <f>SUM(Q139:Q146)</f>
        <v>725212.48</v>
      </c>
      <c r="R138" s="353">
        <f t="shared" ref="R138" si="83">SUM(R139:R146)</f>
        <v>0</v>
      </c>
      <c r="S138" s="353">
        <f t="shared" ref="S138:X138" si="84">SUM(S139:S146)</f>
        <v>0</v>
      </c>
      <c r="T138" s="353">
        <f t="shared" si="84"/>
        <v>446414</v>
      </c>
      <c r="U138" s="353">
        <f>SUM(U139:U146)</f>
        <v>278798.48</v>
      </c>
      <c r="V138" s="353">
        <f t="shared" si="84"/>
        <v>0</v>
      </c>
      <c r="W138" s="353"/>
      <c r="X138" s="353">
        <f t="shared" si="84"/>
        <v>914489.2</v>
      </c>
      <c r="Y138" s="359"/>
      <c r="Z138" s="287"/>
      <c r="AB138" s="395"/>
    </row>
    <row r="139" spans="1:29" s="321" customFormat="1" ht="25.5" hidden="1" customHeight="1" x14ac:dyDescent="0.2">
      <c r="A139" s="53" t="s">
        <v>430</v>
      </c>
      <c r="B139" s="508"/>
      <c r="C139" s="170"/>
      <c r="D139" s="297"/>
      <c r="E139" s="185" t="s">
        <v>46</v>
      </c>
      <c r="F139" s="170"/>
      <c r="G139" s="169" t="s">
        <v>56</v>
      </c>
      <c r="H139" s="163">
        <v>0</v>
      </c>
      <c r="I139" s="165">
        <f t="shared" ref="I139:I146" si="85">SUM(J139:M139)</f>
        <v>0</v>
      </c>
      <c r="J139" s="163"/>
      <c r="K139" s="292"/>
      <c r="L139" s="292"/>
      <c r="M139" s="292"/>
      <c r="N139" s="293">
        <f t="shared" ref="N139:N146" si="86">H139+I139</f>
        <v>0</v>
      </c>
      <c r="O139" s="163">
        <v>0</v>
      </c>
      <c r="P139" s="262">
        <v>0</v>
      </c>
      <c r="Q139" s="163">
        <f>R139+S139+T139+U139+V139</f>
        <v>0</v>
      </c>
      <c r="R139" s="163"/>
      <c r="S139" s="163"/>
      <c r="T139" s="163">
        <v>0</v>
      </c>
      <c r="U139" s="163"/>
      <c r="V139" s="163"/>
      <c r="W139" s="163"/>
      <c r="X139" s="165">
        <f>P139+Q139</f>
        <v>0</v>
      </c>
      <c r="Y139" s="359"/>
      <c r="Z139" s="287"/>
      <c r="AB139" s="332"/>
    </row>
    <row r="140" spans="1:29" s="321" customFormat="1" ht="25.5" x14ac:dyDescent="0.2">
      <c r="A140" s="53" t="s">
        <v>635</v>
      </c>
      <c r="B140" s="508"/>
      <c r="C140" s="170"/>
      <c r="D140" s="297"/>
      <c r="E140" s="185" t="s">
        <v>46</v>
      </c>
      <c r="F140" s="170"/>
      <c r="G140" s="169" t="s">
        <v>56</v>
      </c>
      <c r="H140" s="163">
        <v>0</v>
      </c>
      <c r="I140" s="165">
        <f t="shared" si="85"/>
        <v>0</v>
      </c>
      <c r="J140" s="163"/>
      <c r="K140" s="292"/>
      <c r="L140" s="292"/>
      <c r="M140" s="292"/>
      <c r="N140" s="293">
        <f t="shared" si="86"/>
        <v>0</v>
      </c>
      <c r="O140" s="163">
        <v>0</v>
      </c>
      <c r="P140" s="262">
        <v>0</v>
      </c>
      <c r="Q140" s="163">
        <f t="shared" ref="Q140:Q141" si="87">R140+S140+T140+U140+V140</f>
        <v>337414</v>
      </c>
      <c r="R140" s="163"/>
      <c r="S140" s="163"/>
      <c r="T140" s="163">
        <v>337414</v>
      </c>
      <c r="U140" s="163"/>
      <c r="V140" s="163"/>
      <c r="W140" s="163"/>
      <c r="X140" s="165">
        <f t="shared" ref="X140:X141" si="88">P140+Q140</f>
        <v>337414</v>
      </c>
      <c r="Y140" s="292"/>
      <c r="Z140" s="288"/>
      <c r="AB140" s="332"/>
    </row>
    <row r="141" spans="1:29" s="321" customFormat="1" ht="25.5" x14ac:dyDescent="0.2">
      <c r="A141" s="53" t="s">
        <v>546</v>
      </c>
      <c r="B141" s="508"/>
      <c r="C141" s="170"/>
      <c r="D141" s="297"/>
      <c r="E141" s="185" t="s">
        <v>46</v>
      </c>
      <c r="F141" s="170"/>
      <c r="G141" s="169" t="s">
        <v>56</v>
      </c>
      <c r="H141" s="163"/>
      <c r="I141" s="165"/>
      <c r="J141" s="163"/>
      <c r="K141" s="292"/>
      <c r="L141" s="292"/>
      <c r="M141" s="292"/>
      <c r="N141" s="293"/>
      <c r="O141" s="163"/>
      <c r="P141" s="262">
        <v>0</v>
      </c>
      <c r="Q141" s="163">
        <f t="shared" si="87"/>
        <v>109000</v>
      </c>
      <c r="R141" s="163"/>
      <c r="S141" s="163"/>
      <c r="T141" s="163">
        <v>109000</v>
      </c>
      <c r="U141" s="163"/>
      <c r="V141" s="163"/>
      <c r="W141" s="163"/>
      <c r="X141" s="165">
        <f t="shared" si="88"/>
        <v>109000</v>
      </c>
      <c r="Y141" s="292"/>
      <c r="Z141" s="288"/>
      <c r="AB141" s="332"/>
    </row>
    <row r="142" spans="1:29" s="316" customFormat="1" ht="25.5" customHeight="1" x14ac:dyDescent="0.2">
      <c r="A142" s="148" t="s">
        <v>141</v>
      </c>
      <c r="B142" s="336"/>
      <c r="C142" s="297"/>
      <c r="D142" s="297"/>
      <c r="E142" s="298" t="s">
        <v>46</v>
      </c>
      <c r="F142" s="297"/>
      <c r="G142" s="297" t="s">
        <v>53</v>
      </c>
      <c r="H142" s="165">
        <v>414976.42</v>
      </c>
      <c r="I142" s="165">
        <f t="shared" si="85"/>
        <v>106000</v>
      </c>
      <c r="J142" s="165">
        <v>0</v>
      </c>
      <c r="K142" s="301">
        <v>0</v>
      </c>
      <c r="L142" s="301">
        <v>0</v>
      </c>
      <c r="M142" s="301">
        <v>106000</v>
      </c>
      <c r="N142" s="293">
        <f t="shared" si="86"/>
        <v>520976.42</v>
      </c>
      <c r="O142" s="165">
        <f>414976.42*80%</f>
        <v>331981.136</v>
      </c>
      <c r="P142" s="260">
        <v>135276.72</v>
      </c>
      <c r="Q142" s="163">
        <f>R142+S142+T142+U142+V142</f>
        <v>250590.36</v>
      </c>
      <c r="R142" s="165">
        <v>0</v>
      </c>
      <c r="S142" s="163"/>
      <c r="T142" s="163"/>
      <c r="U142" s="163">
        <f>94600.53+30694.65+94600.53+30694.65</f>
        <v>250590.36</v>
      </c>
      <c r="V142" s="163"/>
      <c r="W142" s="163"/>
      <c r="X142" s="165">
        <f>P142+Q142</f>
        <v>385867.07999999996</v>
      </c>
      <c r="Y142" s="301" t="s">
        <v>595</v>
      </c>
      <c r="Z142" s="288"/>
      <c r="AA142" s="288"/>
      <c r="AB142" s="329"/>
    </row>
    <row r="143" spans="1:29" s="316" customFormat="1" ht="25.5" hidden="1" customHeight="1" x14ac:dyDescent="0.2">
      <c r="A143" s="148" t="s">
        <v>142</v>
      </c>
      <c r="B143" s="336"/>
      <c r="C143" s="297"/>
      <c r="D143" s="297"/>
      <c r="E143" s="298"/>
      <c r="F143" s="297"/>
      <c r="G143" s="297" t="s">
        <v>53</v>
      </c>
      <c r="H143" s="165">
        <v>8384.0400000000009</v>
      </c>
      <c r="I143" s="165">
        <f t="shared" si="85"/>
        <v>0</v>
      </c>
      <c r="J143" s="165"/>
      <c r="K143" s="301"/>
      <c r="L143" s="301"/>
      <c r="M143" s="301"/>
      <c r="N143" s="293">
        <f t="shared" si="86"/>
        <v>8384.0400000000009</v>
      </c>
      <c r="O143" s="165">
        <f>8384.04*80%</f>
        <v>6707.2320000000009</v>
      </c>
      <c r="P143" s="260">
        <v>0</v>
      </c>
      <c r="Q143" s="163">
        <f t="shared" ref="Q143:Q145" si="89">R143+S143+T143+U143</f>
        <v>0</v>
      </c>
      <c r="R143" s="165"/>
      <c r="S143" s="163"/>
      <c r="T143" s="163"/>
      <c r="U143" s="163"/>
      <c r="V143" s="163"/>
      <c r="W143" s="163"/>
      <c r="X143" s="165"/>
      <c r="Y143" s="301"/>
      <c r="Z143" s="288"/>
      <c r="AB143" s="329"/>
    </row>
    <row r="144" spans="1:29" s="316" customFormat="1" ht="25.5" customHeight="1" x14ac:dyDescent="0.2">
      <c r="A144" s="148" t="s">
        <v>143</v>
      </c>
      <c r="B144" s="336"/>
      <c r="C144" s="297"/>
      <c r="D144" s="297"/>
      <c r="E144" s="298" t="s">
        <v>46</v>
      </c>
      <c r="F144" s="297"/>
      <c r="G144" s="297" t="s">
        <v>101</v>
      </c>
      <c r="H144" s="165">
        <v>216000</v>
      </c>
      <c r="I144" s="165">
        <f t="shared" si="85"/>
        <v>0</v>
      </c>
      <c r="J144" s="165">
        <v>0</v>
      </c>
      <c r="K144" s="301">
        <v>0</v>
      </c>
      <c r="L144" s="301">
        <v>0</v>
      </c>
      <c r="M144" s="301">
        <v>0</v>
      </c>
      <c r="N144" s="293">
        <f t="shared" si="86"/>
        <v>216000</v>
      </c>
      <c r="O144" s="165">
        <f>216000*80%</f>
        <v>172800</v>
      </c>
      <c r="P144" s="260">
        <v>54000</v>
      </c>
      <c r="Q144" s="163">
        <f>R144+S144+T144+U144+V144</f>
        <v>28208.12</v>
      </c>
      <c r="R144" s="165">
        <v>0</v>
      </c>
      <c r="S144" s="163"/>
      <c r="T144" s="163"/>
      <c r="U144" s="163">
        <v>28208.12</v>
      </c>
      <c r="V144" s="163"/>
      <c r="W144" s="163"/>
      <c r="X144" s="165">
        <f>P144+Q144</f>
        <v>82208.12</v>
      </c>
      <c r="Y144" s="301" t="s">
        <v>595</v>
      </c>
      <c r="Z144" s="288"/>
      <c r="AB144" s="329"/>
    </row>
    <row r="145" spans="1:29" s="316" customFormat="1" ht="25.5" hidden="1" customHeight="1" x14ac:dyDescent="0.2">
      <c r="A145" s="148" t="s">
        <v>511</v>
      </c>
      <c r="B145" s="336"/>
      <c r="C145" s="297"/>
      <c r="D145" s="297"/>
      <c r="E145" s="298" t="s">
        <v>46</v>
      </c>
      <c r="F145" s="297"/>
      <c r="G145" s="297" t="s">
        <v>101</v>
      </c>
      <c r="H145" s="165">
        <v>0</v>
      </c>
      <c r="I145" s="165">
        <f t="shared" si="85"/>
        <v>0</v>
      </c>
      <c r="J145" s="165">
        <v>0</v>
      </c>
      <c r="K145" s="301">
        <v>0</v>
      </c>
      <c r="L145" s="301">
        <v>0</v>
      </c>
      <c r="M145" s="301">
        <v>0</v>
      </c>
      <c r="N145" s="293">
        <f t="shared" si="86"/>
        <v>0</v>
      </c>
      <c r="O145" s="165">
        <v>0</v>
      </c>
      <c r="P145" s="260">
        <v>0</v>
      </c>
      <c r="Q145" s="163">
        <f t="shared" si="89"/>
        <v>0</v>
      </c>
      <c r="R145" s="165"/>
      <c r="S145" s="163"/>
      <c r="T145" s="163">
        <v>0</v>
      </c>
      <c r="U145" s="163"/>
      <c r="V145" s="163"/>
      <c r="W145" s="163"/>
      <c r="X145" s="165">
        <f>P145+Q145</f>
        <v>0</v>
      </c>
      <c r="Y145" s="301"/>
      <c r="Z145" s="288"/>
      <c r="AB145" s="329"/>
    </row>
    <row r="146" spans="1:29" s="316" customFormat="1" ht="25.5" hidden="1" customHeight="1" x14ac:dyDescent="0.2">
      <c r="A146" s="148" t="s">
        <v>144</v>
      </c>
      <c r="B146" s="336"/>
      <c r="C146" s="297"/>
      <c r="D146" s="297"/>
      <c r="E146" s="298"/>
      <c r="F146" s="297"/>
      <c r="G146" s="297" t="s">
        <v>101</v>
      </c>
      <c r="H146" s="165">
        <v>0</v>
      </c>
      <c r="I146" s="165">
        <f t="shared" si="85"/>
        <v>50000</v>
      </c>
      <c r="J146" s="165">
        <v>0</v>
      </c>
      <c r="K146" s="301">
        <v>0</v>
      </c>
      <c r="L146" s="301">
        <v>0</v>
      </c>
      <c r="M146" s="301">
        <v>50000</v>
      </c>
      <c r="N146" s="293">
        <f t="shared" si="86"/>
        <v>50000</v>
      </c>
      <c r="O146" s="165">
        <v>0</v>
      </c>
      <c r="P146" s="260">
        <v>0</v>
      </c>
      <c r="Q146" s="165"/>
      <c r="R146" s="165"/>
      <c r="S146" s="163"/>
      <c r="T146" s="163"/>
      <c r="U146" s="163"/>
      <c r="V146" s="163"/>
      <c r="W146" s="163"/>
      <c r="X146" s="165"/>
      <c r="Y146" s="301"/>
      <c r="Z146" s="288"/>
      <c r="AB146" s="329"/>
    </row>
    <row r="147" spans="1:29" s="321" customFormat="1" ht="25.5" customHeight="1" x14ac:dyDescent="0.2">
      <c r="A147" s="121" t="s">
        <v>57</v>
      </c>
      <c r="B147" s="509">
        <v>804</v>
      </c>
      <c r="C147" s="89" t="s">
        <v>136</v>
      </c>
      <c r="D147" s="170" t="s">
        <v>137</v>
      </c>
      <c r="E147" s="123" t="s">
        <v>46</v>
      </c>
      <c r="F147" s="89" t="s">
        <v>58</v>
      </c>
      <c r="G147" s="89"/>
      <c r="H147" s="315">
        <f t="shared" ref="H147:N147" si="90">SUM(H148:H151)</f>
        <v>894827.24</v>
      </c>
      <c r="I147" s="315">
        <f t="shared" si="90"/>
        <v>346862.05</v>
      </c>
      <c r="J147" s="315">
        <f t="shared" si="90"/>
        <v>40862.050000000003</v>
      </c>
      <c r="K147" s="315">
        <f t="shared" si="90"/>
        <v>0</v>
      </c>
      <c r="L147" s="315">
        <f t="shared" si="90"/>
        <v>0</v>
      </c>
      <c r="M147" s="315">
        <f t="shared" si="90"/>
        <v>306000</v>
      </c>
      <c r="N147" s="315">
        <f t="shared" si="90"/>
        <v>1241689.29</v>
      </c>
      <c r="O147" s="315">
        <f>SUM(O148:O151)</f>
        <v>715861.79200000002</v>
      </c>
      <c r="P147" s="353">
        <f>SUM(P148:P152)</f>
        <v>317568.01</v>
      </c>
      <c r="Q147" s="353">
        <f t="shared" ref="Q147:V147" si="91">SUM(Q148:Q152)</f>
        <v>576875.14</v>
      </c>
      <c r="R147" s="353">
        <f t="shared" si="91"/>
        <v>23728.81</v>
      </c>
      <c r="S147" s="353">
        <f t="shared" si="91"/>
        <v>0</v>
      </c>
      <c r="T147" s="353">
        <f t="shared" si="91"/>
        <v>0</v>
      </c>
      <c r="U147" s="353">
        <f>SUM(U148:U152)</f>
        <v>553146.33000000007</v>
      </c>
      <c r="V147" s="353">
        <f t="shared" si="91"/>
        <v>0</v>
      </c>
      <c r="W147" s="353"/>
      <c r="X147" s="353">
        <f>SUM(X148:X152)</f>
        <v>894443.15000000014</v>
      </c>
      <c r="Y147" s="359"/>
      <c r="Z147" s="287"/>
      <c r="AB147" s="395"/>
    </row>
    <row r="148" spans="1:29" ht="24" customHeight="1" x14ac:dyDescent="0.2">
      <c r="A148" s="97" t="s">
        <v>145</v>
      </c>
      <c r="B148" s="98"/>
      <c r="C148" s="8"/>
      <c r="D148" s="8"/>
      <c r="E148" s="9"/>
      <c r="F148" s="297" t="s">
        <v>58</v>
      </c>
      <c r="G148" s="297" t="s">
        <v>146</v>
      </c>
      <c r="H148" s="165">
        <v>840327.24</v>
      </c>
      <c r="I148" s="165">
        <f>SUM(J148:M148)</f>
        <v>295000</v>
      </c>
      <c r="J148" s="165">
        <v>5000</v>
      </c>
      <c r="K148" s="301">
        <v>0</v>
      </c>
      <c r="L148" s="301">
        <v>0</v>
      </c>
      <c r="M148" s="301">
        <v>290000</v>
      </c>
      <c r="N148" s="293">
        <f>H148+I148</f>
        <v>1135327.24</v>
      </c>
      <c r="O148" s="165">
        <f>840327.24*80%</f>
        <v>672261.79200000002</v>
      </c>
      <c r="P148" s="260">
        <v>270000</v>
      </c>
      <c r="Q148" s="165">
        <f>R148+S148+T148+U148+V148</f>
        <v>476886.33</v>
      </c>
      <c r="R148" s="165">
        <v>0</v>
      </c>
      <c r="S148" s="165"/>
      <c r="T148" s="165"/>
      <c r="U148" s="165">
        <f>287487.44+287487.44-98088.55</f>
        <v>476886.33</v>
      </c>
      <c r="V148" s="165"/>
      <c r="W148" s="165"/>
      <c r="X148" s="165">
        <f>P148+Q148</f>
        <v>746886.33000000007</v>
      </c>
      <c r="Y148" s="301" t="s">
        <v>595</v>
      </c>
      <c r="Z148" s="288"/>
      <c r="AA148" s="316"/>
      <c r="AB148" s="329"/>
      <c r="AC148" s="316"/>
    </row>
    <row r="149" spans="1:29" ht="37.5" hidden="1" customHeight="1" x14ac:dyDescent="0.2">
      <c r="A149" s="97" t="s">
        <v>388</v>
      </c>
      <c r="B149" s="98"/>
      <c r="C149" s="8"/>
      <c r="D149" s="8"/>
      <c r="E149" s="9"/>
      <c r="F149" s="8"/>
      <c r="G149" s="8" t="s">
        <v>64</v>
      </c>
      <c r="H149" s="31"/>
      <c r="I149" s="31"/>
      <c r="J149" s="31"/>
      <c r="K149" s="32"/>
      <c r="L149" s="32"/>
      <c r="M149" s="32"/>
      <c r="N149" s="33"/>
      <c r="O149" s="31"/>
      <c r="P149" s="260">
        <v>0</v>
      </c>
      <c r="Q149" s="165">
        <f>R149+S149+T149+U149</f>
        <v>0</v>
      </c>
      <c r="R149" s="165"/>
      <c r="S149" s="165"/>
      <c r="T149" s="165">
        <v>0</v>
      </c>
      <c r="U149" s="165"/>
      <c r="V149" s="165"/>
      <c r="W149" s="165"/>
      <c r="X149" s="165">
        <f>P149+Q149</f>
        <v>0</v>
      </c>
      <c r="Y149" s="301"/>
      <c r="Z149" s="288"/>
      <c r="AA149" s="316"/>
      <c r="AB149" s="329"/>
      <c r="AC149" s="316"/>
    </row>
    <row r="150" spans="1:29" s="316" customFormat="1" ht="20.25" customHeight="1" x14ac:dyDescent="0.2">
      <c r="A150" s="148" t="s">
        <v>147</v>
      </c>
      <c r="B150" s="336"/>
      <c r="C150" s="297"/>
      <c r="D150" s="297"/>
      <c r="E150" s="298"/>
      <c r="F150" s="297"/>
      <c r="G150" s="297" t="s">
        <v>64</v>
      </c>
      <c r="H150" s="165">
        <v>4500</v>
      </c>
      <c r="I150" s="165">
        <f>SUM(J150:M150)</f>
        <v>31920</v>
      </c>
      <c r="J150" s="165">
        <v>15920</v>
      </c>
      <c r="K150" s="301">
        <v>0</v>
      </c>
      <c r="L150" s="301">
        <v>0</v>
      </c>
      <c r="M150" s="301">
        <v>16000</v>
      </c>
      <c r="N150" s="293">
        <f>H150+I150</f>
        <v>36420</v>
      </c>
      <c r="O150" s="165">
        <f>4500*80%</f>
        <v>3600</v>
      </c>
      <c r="P150" s="260">
        <v>47568.01</v>
      </c>
      <c r="Q150" s="165">
        <f>R150+S150+T150+U150+V150</f>
        <v>99988.81</v>
      </c>
      <c r="R150" s="165">
        <v>23728.81</v>
      </c>
      <c r="S150" s="165">
        <v>0</v>
      </c>
      <c r="T150" s="165"/>
      <c r="U150" s="165">
        <f>38130+38130</f>
        <v>76260</v>
      </c>
      <c r="V150" s="165"/>
      <c r="W150" s="165"/>
      <c r="X150" s="165">
        <f>P150+Q150</f>
        <v>147556.82</v>
      </c>
      <c r="Y150" s="301" t="s">
        <v>595</v>
      </c>
      <c r="Z150" s="288"/>
      <c r="AA150" s="288"/>
      <c r="AB150" s="329"/>
    </row>
    <row r="151" spans="1:29" ht="18" hidden="1" customHeight="1" x14ac:dyDescent="0.2">
      <c r="A151" s="38" t="s">
        <v>148</v>
      </c>
      <c r="B151" s="39"/>
      <c r="C151" s="8"/>
      <c r="D151" s="8"/>
      <c r="E151" s="9"/>
      <c r="F151" s="8"/>
      <c r="G151" s="8" t="s">
        <v>64</v>
      </c>
      <c r="H151" s="31">
        <v>50000</v>
      </c>
      <c r="I151" s="31">
        <f>SUM(J151:M151)</f>
        <v>19942.05</v>
      </c>
      <c r="J151" s="31">
        <v>19942.05</v>
      </c>
      <c r="K151" s="32">
        <v>0</v>
      </c>
      <c r="L151" s="32">
        <v>0</v>
      </c>
      <c r="M151" s="32">
        <v>0</v>
      </c>
      <c r="N151" s="33">
        <f>H151+I151</f>
        <v>69942.05</v>
      </c>
      <c r="O151" s="31">
        <f>50000*80%</f>
        <v>40000</v>
      </c>
      <c r="P151" s="260">
        <v>0</v>
      </c>
      <c r="Q151" s="165">
        <f t="shared" ref="Q151:Q152" si="92">R151+S151+T151+U151+V151</f>
        <v>0</v>
      </c>
      <c r="R151" s="165"/>
      <c r="S151" s="165"/>
      <c r="T151" s="165"/>
      <c r="U151" s="165"/>
      <c r="V151" s="165"/>
      <c r="W151" s="165"/>
      <c r="X151" s="165">
        <f t="shared" ref="X151:X152" si="93">P151+Q151</f>
        <v>0</v>
      </c>
      <c r="Y151" s="301"/>
      <c r="Z151" s="288"/>
      <c r="AA151" s="316"/>
      <c r="AB151" s="329"/>
      <c r="AC151" s="316"/>
    </row>
    <row r="152" spans="1:29" ht="18" hidden="1" customHeight="1" x14ac:dyDescent="0.2">
      <c r="A152" s="148" t="s">
        <v>552</v>
      </c>
      <c r="B152" s="39"/>
      <c r="C152" s="8"/>
      <c r="D152" s="8"/>
      <c r="E152" s="9" t="s">
        <v>534</v>
      </c>
      <c r="F152" s="8" t="s">
        <v>58</v>
      </c>
      <c r="G152" s="8" t="s">
        <v>64</v>
      </c>
      <c r="H152" s="31"/>
      <c r="I152" s="31"/>
      <c r="J152" s="31"/>
      <c r="K152" s="32"/>
      <c r="L152" s="32"/>
      <c r="M152" s="32"/>
      <c r="N152" s="55"/>
      <c r="O152" s="31"/>
      <c r="P152" s="260">
        <v>0</v>
      </c>
      <c r="Q152" s="165">
        <f t="shared" si="92"/>
        <v>0</v>
      </c>
      <c r="R152" s="165">
        <v>0</v>
      </c>
      <c r="S152" s="165"/>
      <c r="T152" s="165"/>
      <c r="U152" s="165"/>
      <c r="V152" s="165"/>
      <c r="W152" s="165"/>
      <c r="X152" s="165">
        <f t="shared" si="93"/>
        <v>0</v>
      </c>
      <c r="Y152" s="301"/>
      <c r="Z152" s="288"/>
      <c r="AA152" s="316"/>
      <c r="AB152" s="329"/>
      <c r="AC152" s="316"/>
    </row>
    <row r="153" spans="1:29" ht="23.25" customHeight="1" x14ac:dyDescent="0.2">
      <c r="A153" s="23" t="s">
        <v>65</v>
      </c>
      <c r="B153" s="79">
        <v>804</v>
      </c>
      <c r="C153" s="25" t="s">
        <v>136</v>
      </c>
      <c r="D153" s="43" t="s">
        <v>137</v>
      </c>
      <c r="E153" s="26" t="s">
        <v>19</v>
      </c>
      <c r="F153" s="25" t="s">
        <v>66</v>
      </c>
      <c r="G153" s="25"/>
      <c r="H153" s="45">
        <f t="shared" ref="H153:O153" si="94">SUM(H154:H154)</f>
        <v>15503.35</v>
      </c>
      <c r="I153" s="45">
        <f t="shared" si="94"/>
        <v>-60</v>
      </c>
      <c r="J153" s="45">
        <f t="shared" si="94"/>
        <v>-60</v>
      </c>
      <c r="K153" s="45">
        <f t="shared" si="94"/>
        <v>0</v>
      </c>
      <c r="L153" s="45">
        <f t="shared" si="94"/>
        <v>0</v>
      </c>
      <c r="M153" s="45">
        <f t="shared" si="94"/>
        <v>0</v>
      </c>
      <c r="N153" s="45">
        <f t="shared" si="94"/>
        <v>15443.35</v>
      </c>
      <c r="O153" s="45">
        <f t="shared" si="94"/>
        <v>15503.35</v>
      </c>
      <c r="P153" s="353">
        <f>SUM(P154:P156)</f>
        <v>52504</v>
      </c>
      <c r="Q153" s="353">
        <f t="shared" ref="Q153:X153" si="95">SUM(Q154:Q156)</f>
        <v>0</v>
      </c>
      <c r="R153" s="353">
        <f t="shared" si="95"/>
        <v>0</v>
      </c>
      <c r="S153" s="353">
        <f t="shared" si="95"/>
        <v>0</v>
      </c>
      <c r="T153" s="353">
        <f t="shared" si="95"/>
        <v>0</v>
      </c>
      <c r="U153" s="353">
        <f t="shared" si="95"/>
        <v>0</v>
      </c>
      <c r="V153" s="353">
        <f t="shared" si="95"/>
        <v>0</v>
      </c>
      <c r="W153" s="353"/>
      <c r="X153" s="353">
        <f t="shared" si="95"/>
        <v>52504</v>
      </c>
      <c r="Y153" s="301"/>
      <c r="Z153" s="288"/>
      <c r="AA153" s="316"/>
      <c r="AB153" s="395"/>
      <c r="AC153" s="316"/>
    </row>
    <row r="154" spans="1:29" s="65" customFormat="1" ht="23.25" customHeight="1" x14ac:dyDescent="0.2">
      <c r="A154" s="80" t="s">
        <v>411</v>
      </c>
      <c r="B154" s="99"/>
      <c r="C154" s="30"/>
      <c r="D154" s="43"/>
      <c r="E154" s="62" t="s">
        <v>117</v>
      </c>
      <c r="F154" s="30" t="s">
        <v>494</v>
      </c>
      <c r="G154" s="30" t="s">
        <v>118</v>
      </c>
      <c r="H154" s="63">
        <v>15503.35</v>
      </c>
      <c r="I154" s="31">
        <f>SUM(J154:M154)</f>
        <v>-60</v>
      </c>
      <c r="J154" s="63">
        <v>-60</v>
      </c>
      <c r="K154" s="64">
        <v>0</v>
      </c>
      <c r="L154" s="64">
        <v>0</v>
      </c>
      <c r="M154" s="64">
        <v>0</v>
      </c>
      <c r="N154" s="33">
        <f>H154+I154</f>
        <v>15443.35</v>
      </c>
      <c r="O154" s="63">
        <v>15503.35</v>
      </c>
      <c r="P154" s="262">
        <v>22504</v>
      </c>
      <c r="Q154" s="163">
        <f>R154+S154+T154+U154+V154</f>
        <v>0</v>
      </c>
      <c r="R154" s="163">
        <v>0</v>
      </c>
      <c r="S154" s="315"/>
      <c r="T154" s="315"/>
      <c r="U154" s="163">
        <v>0</v>
      </c>
      <c r="V154" s="163"/>
      <c r="W154" s="163"/>
      <c r="X154" s="165">
        <f>P154+Q154</f>
        <v>22504</v>
      </c>
      <c r="Y154" s="292"/>
      <c r="Z154" s="290"/>
      <c r="AA154" s="320"/>
      <c r="AB154" s="332"/>
      <c r="AC154" s="320"/>
    </row>
    <row r="155" spans="1:29" s="65" customFormat="1" ht="23.25" hidden="1" customHeight="1" x14ac:dyDescent="0.2">
      <c r="A155" s="80" t="s">
        <v>116</v>
      </c>
      <c r="B155" s="61"/>
      <c r="C155" s="30"/>
      <c r="D155" s="30"/>
      <c r="E155" s="62" t="s">
        <v>117</v>
      </c>
      <c r="F155" s="30"/>
      <c r="G155" s="30" t="s">
        <v>118</v>
      </c>
      <c r="H155" s="63">
        <v>54564</v>
      </c>
      <c r="I155" s="31">
        <f>SUM(J155:M155)</f>
        <v>0</v>
      </c>
      <c r="J155" s="63"/>
      <c r="K155" s="64"/>
      <c r="L155" s="64"/>
      <c r="M155" s="64"/>
      <c r="N155" s="33">
        <f>H155+I155</f>
        <v>54564</v>
      </c>
      <c r="O155" s="63">
        <v>54564</v>
      </c>
      <c r="P155" s="262">
        <v>0</v>
      </c>
      <c r="Q155" s="163"/>
      <c r="R155" s="163"/>
      <c r="S155" s="315"/>
      <c r="T155" s="315"/>
      <c r="U155" s="163"/>
      <c r="V155" s="163"/>
      <c r="W155" s="163"/>
      <c r="X155" s="165"/>
      <c r="Y155" s="292"/>
      <c r="Z155" s="290"/>
      <c r="AA155" s="320"/>
      <c r="AB155" s="332"/>
      <c r="AC155" s="320"/>
    </row>
    <row r="156" spans="1:29" s="65" customFormat="1" ht="23.25" customHeight="1" x14ac:dyDescent="0.2">
      <c r="A156" s="80" t="s">
        <v>119</v>
      </c>
      <c r="B156" s="61"/>
      <c r="C156" s="30"/>
      <c r="D156" s="30"/>
      <c r="E156" s="62" t="s">
        <v>120</v>
      </c>
      <c r="F156" s="30" t="s">
        <v>494</v>
      </c>
      <c r="G156" s="30" t="s">
        <v>118</v>
      </c>
      <c r="H156" s="63">
        <v>20000</v>
      </c>
      <c r="I156" s="31">
        <f>SUM(J156:M156)</f>
        <v>0</v>
      </c>
      <c r="J156" s="63"/>
      <c r="K156" s="64"/>
      <c r="L156" s="64"/>
      <c r="M156" s="64"/>
      <c r="N156" s="33">
        <f>H156+I156</f>
        <v>20000</v>
      </c>
      <c r="O156" s="63">
        <v>20000</v>
      </c>
      <c r="P156" s="262">
        <v>30000</v>
      </c>
      <c r="Q156" s="163">
        <f>R156+S156+T156+U156+V156</f>
        <v>0</v>
      </c>
      <c r="R156" s="163"/>
      <c r="S156" s="315"/>
      <c r="T156" s="315"/>
      <c r="U156" s="163">
        <v>0</v>
      </c>
      <c r="V156" s="163"/>
      <c r="W156" s="163"/>
      <c r="X156" s="165">
        <f>P156+Q156</f>
        <v>30000</v>
      </c>
      <c r="Y156" s="292"/>
      <c r="Z156" s="290"/>
      <c r="AA156" s="320"/>
      <c r="AB156" s="332"/>
      <c r="AC156" s="320"/>
    </row>
    <row r="157" spans="1:29" ht="27.75" hidden="1" customHeight="1" x14ac:dyDescent="0.2">
      <c r="A157" s="48" t="s">
        <v>72</v>
      </c>
      <c r="B157" s="100">
        <v>804</v>
      </c>
      <c r="C157" s="43" t="s">
        <v>136</v>
      </c>
      <c r="D157" s="43" t="s">
        <v>137</v>
      </c>
      <c r="E157" s="44" t="s">
        <v>46</v>
      </c>
      <c r="F157" s="43" t="s">
        <v>73</v>
      </c>
      <c r="G157" s="43"/>
      <c r="H157" s="45">
        <f t="shared" ref="H157:P157" si="96">SUM(H158:H158)</f>
        <v>0</v>
      </c>
      <c r="I157" s="45">
        <f t="shared" si="96"/>
        <v>0</v>
      </c>
      <c r="J157" s="45">
        <f t="shared" si="96"/>
        <v>0</v>
      </c>
      <c r="K157" s="46">
        <f t="shared" si="96"/>
        <v>0</v>
      </c>
      <c r="L157" s="46">
        <f t="shared" si="96"/>
        <v>0</v>
      </c>
      <c r="M157" s="46">
        <f t="shared" si="96"/>
        <v>0</v>
      </c>
      <c r="N157" s="46">
        <f t="shared" si="96"/>
        <v>0</v>
      </c>
      <c r="O157" s="45">
        <f t="shared" si="96"/>
        <v>0</v>
      </c>
      <c r="P157" s="353">
        <f t="shared" si="96"/>
        <v>0</v>
      </c>
      <c r="Q157" s="315"/>
      <c r="R157" s="315"/>
      <c r="S157" s="315"/>
      <c r="T157" s="315"/>
      <c r="U157" s="315"/>
      <c r="V157" s="315"/>
      <c r="W157" s="315"/>
      <c r="X157" s="165"/>
      <c r="Y157" s="301"/>
      <c r="Z157" s="288"/>
      <c r="AA157" s="316"/>
      <c r="AB157" s="387"/>
      <c r="AC157" s="316"/>
    </row>
    <row r="158" spans="1:29" ht="37.5" hidden="1" customHeight="1" x14ac:dyDescent="0.2">
      <c r="A158" s="40" t="s">
        <v>149</v>
      </c>
      <c r="B158" s="7"/>
      <c r="C158" s="8"/>
      <c r="D158" s="8"/>
      <c r="E158" s="9"/>
      <c r="F158" s="8"/>
      <c r="G158" s="30" t="s">
        <v>75</v>
      </c>
      <c r="H158" s="31">
        <v>0</v>
      </c>
      <c r="I158" s="31">
        <f>SUM(J158:M158)</f>
        <v>0</v>
      </c>
      <c r="J158" s="31">
        <v>0</v>
      </c>
      <c r="K158" s="32">
        <v>0</v>
      </c>
      <c r="L158" s="32">
        <v>0</v>
      </c>
      <c r="M158" s="32">
        <v>0</v>
      </c>
      <c r="N158" s="33">
        <f>H158+I158</f>
        <v>0</v>
      </c>
      <c r="O158" s="31">
        <v>0</v>
      </c>
      <c r="P158" s="260">
        <v>0</v>
      </c>
      <c r="Q158" s="165"/>
      <c r="R158" s="165"/>
      <c r="S158" s="165"/>
      <c r="T158" s="165"/>
      <c r="U158" s="165"/>
      <c r="V158" s="165"/>
      <c r="W158" s="165"/>
      <c r="X158" s="165"/>
      <c r="Y158" s="301"/>
      <c r="Z158" s="288"/>
      <c r="AA158" s="316"/>
      <c r="AB158" s="329"/>
      <c r="AC158" s="316"/>
    </row>
    <row r="159" spans="1:29" ht="23.25" customHeight="1" x14ac:dyDescent="0.2">
      <c r="A159" s="6" t="s">
        <v>76</v>
      </c>
      <c r="B159" s="79">
        <v>804</v>
      </c>
      <c r="C159" s="25" t="s">
        <v>136</v>
      </c>
      <c r="D159" s="43" t="s">
        <v>137</v>
      </c>
      <c r="E159" s="26" t="s">
        <v>46</v>
      </c>
      <c r="F159" s="25" t="s">
        <v>77</v>
      </c>
      <c r="G159" s="8"/>
      <c r="H159" s="45">
        <f t="shared" ref="H159:N159" si="97">SUM(H160:H161)</f>
        <v>50000</v>
      </c>
      <c r="I159" s="45">
        <f t="shared" si="97"/>
        <v>151300</v>
      </c>
      <c r="J159" s="45">
        <f t="shared" si="97"/>
        <v>1300</v>
      </c>
      <c r="K159" s="46">
        <f t="shared" si="97"/>
        <v>0</v>
      </c>
      <c r="L159" s="46">
        <f t="shared" si="97"/>
        <v>0</v>
      </c>
      <c r="M159" s="46">
        <f t="shared" si="97"/>
        <v>150000</v>
      </c>
      <c r="N159" s="46">
        <f t="shared" si="97"/>
        <v>201300</v>
      </c>
      <c r="O159" s="45">
        <f>SUM(O160:O161)</f>
        <v>40000</v>
      </c>
      <c r="P159" s="353">
        <f>SUM(P161:P163)</f>
        <v>15065</v>
      </c>
      <c r="Q159" s="353">
        <f t="shared" ref="Q159:X159" si="98">SUM(Q161:Q163)</f>
        <v>0</v>
      </c>
      <c r="R159" s="353">
        <f t="shared" si="98"/>
        <v>0</v>
      </c>
      <c r="S159" s="353">
        <f t="shared" si="98"/>
        <v>0</v>
      </c>
      <c r="T159" s="353">
        <f t="shared" si="98"/>
        <v>0</v>
      </c>
      <c r="U159" s="353">
        <f t="shared" si="98"/>
        <v>0</v>
      </c>
      <c r="V159" s="353">
        <f t="shared" si="98"/>
        <v>0</v>
      </c>
      <c r="W159" s="353"/>
      <c r="X159" s="353">
        <f t="shared" si="98"/>
        <v>15065</v>
      </c>
      <c r="Y159" s="301"/>
      <c r="Z159" s="288"/>
      <c r="AA159" s="316"/>
      <c r="AB159" s="395"/>
      <c r="AC159" s="316"/>
    </row>
    <row r="160" spans="1:29" ht="24.75" hidden="1" customHeight="1" x14ac:dyDescent="0.2">
      <c r="A160" s="80" t="s">
        <v>133</v>
      </c>
      <c r="B160" s="41"/>
      <c r="C160" s="8"/>
      <c r="D160" s="8"/>
      <c r="E160" s="9"/>
      <c r="F160" s="8"/>
      <c r="G160" s="8" t="s">
        <v>126</v>
      </c>
      <c r="H160" s="66">
        <v>0</v>
      </c>
      <c r="I160" s="31">
        <f>SUM(J160:M160)</f>
        <v>130000</v>
      </c>
      <c r="J160" s="66">
        <v>0</v>
      </c>
      <c r="K160" s="67">
        <v>0</v>
      </c>
      <c r="L160" s="67">
        <v>0</v>
      </c>
      <c r="M160" s="67">
        <v>130000</v>
      </c>
      <c r="N160" s="33">
        <f>H160+I160</f>
        <v>130000</v>
      </c>
      <c r="O160" s="66">
        <v>0</v>
      </c>
      <c r="P160" s="335">
        <v>0</v>
      </c>
      <c r="Q160" s="299"/>
      <c r="R160" s="299"/>
      <c r="S160" s="299"/>
      <c r="T160" s="299"/>
      <c r="U160" s="299"/>
      <c r="V160" s="299"/>
      <c r="W160" s="299"/>
      <c r="X160" s="165"/>
      <c r="Y160" s="301"/>
      <c r="Z160" s="288"/>
      <c r="AA160" s="316"/>
      <c r="AB160" s="391"/>
      <c r="AC160" s="316"/>
    </row>
    <row r="161" spans="1:29" ht="29.25" customHeight="1" x14ac:dyDescent="0.2">
      <c r="A161" s="40" t="s">
        <v>150</v>
      </c>
      <c r="B161" s="41"/>
      <c r="C161" s="8"/>
      <c r="D161" s="8"/>
      <c r="E161" s="9"/>
      <c r="F161" s="297" t="s">
        <v>554</v>
      </c>
      <c r="G161" s="297" t="s">
        <v>81</v>
      </c>
      <c r="H161" s="299">
        <v>50000</v>
      </c>
      <c r="I161" s="165">
        <f>SUM(J161:M161)</f>
        <v>21300</v>
      </c>
      <c r="J161" s="299">
        <v>1300</v>
      </c>
      <c r="K161" s="300">
        <v>0</v>
      </c>
      <c r="L161" s="300">
        <v>0</v>
      </c>
      <c r="M161" s="300">
        <v>20000</v>
      </c>
      <c r="N161" s="293">
        <f>H161+I161</f>
        <v>71300</v>
      </c>
      <c r="O161" s="299">
        <f>50000*80%</f>
        <v>40000</v>
      </c>
      <c r="P161" s="335">
        <v>11315</v>
      </c>
      <c r="Q161" s="299">
        <f>R161+S161+T161+U161+V161</f>
        <v>0</v>
      </c>
      <c r="R161" s="299">
        <v>0</v>
      </c>
      <c r="S161" s="299">
        <v>0</v>
      </c>
      <c r="T161" s="299"/>
      <c r="U161" s="299">
        <v>0</v>
      </c>
      <c r="V161" s="299"/>
      <c r="W161" s="299"/>
      <c r="X161" s="165">
        <f>P161+Q161</f>
        <v>11315</v>
      </c>
      <c r="Y161" s="301" t="s">
        <v>595</v>
      </c>
      <c r="Z161" s="288"/>
      <c r="AA161" s="322"/>
      <c r="AB161" s="391"/>
      <c r="AC161" s="316"/>
    </row>
    <row r="162" spans="1:29" ht="29.25" customHeight="1" x14ac:dyDescent="0.2">
      <c r="A162" s="40" t="s">
        <v>425</v>
      </c>
      <c r="B162" s="41"/>
      <c r="C162" s="8"/>
      <c r="D162" s="8"/>
      <c r="E162" s="9"/>
      <c r="F162" s="297" t="s">
        <v>557</v>
      </c>
      <c r="G162" s="297" t="s">
        <v>262</v>
      </c>
      <c r="H162" s="299"/>
      <c r="I162" s="165"/>
      <c r="J162" s="299"/>
      <c r="K162" s="300"/>
      <c r="L162" s="300"/>
      <c r="M162" s="300"/>
      <c r="N162" s="293"/>
      <c r="O162" s="299"/>
      <c r="P162" s="335">
        <v>3750</v>
      </c>
      <c r="Q162" s="299">
        <f>R162+S162+T162+U162+V162</f>
        <v>0</v>
      </c>
      <c r="R162" s="299">
        <v>0</v>
      </c>
      <c r="S162" s="299">
        <v>0</v>
      </c>
      <c r="T162" s="299"/>
      <c r="U162" s="299"/>
      <c r="V162" s="299"/>
      <c r="W162" s="299"/>
      <c r="X162" s="165">
        <f>P162+Q162</f>
        <v>3750</v>
      </c>
      <c r="Y162" s="301" t="s">
        <v>595</v>
      </c>
      <c r="Z162" s="288"/>
      <c r="AA162" s="316"/>
      <c r="AB162" s="391"/>
      <c r="AC162" s="316"/>
    </row>
    <row r="163" spans="1:29" ht="29.25" hidden="1" customHeight="1" x14ac:dyDescent="0.2">
      <c r="A163" s="38" t="s">
        <v>514</v>
      </c>
      <c r="B163" s="41"/>
      <c r="C163" s="8"/>
      <c r="D163" s="8"/>
      <c r="E163" s="9"/>
      <c r="F163" s="8"/>
      <c r="G163" s="8" t="s">
        <v>81</v>
      </c>
      <c r="H163" s="66"/>
      <c r="I163" s="31"/>
      <c r="J163" s="66"/>
      <c r="K163" s="67"/>
      <c r="L163" s="67"/>
      <c r="M163" s="67"/>
      <c r="N163" s="33"/>
      <c r="O163" s="66"/>
      <c r="P163" s="335">
        <v>0</v>
      </c>
      <c r="Q163" s="299">
        <f>R163+S163+T163+U163+V163</f>
        <v>0</v>
      </c>
      <c r="R163" s="299"/>
      <c r="S163" s="299"/>
      <c r="T163" s="299"/>
      <c r="U163" s="299"/>
      <c r="V163" s="299"/>
      <c r="W163" s="299"/>
      <c r="X163" s="165">
        <f>P163+Q163</f>
        <v>0</v>
      </c>
      <c r="Y163" s="301"/>
      <c r="Z163" s="288"/>
      <c r="AA163" s="316"/>
      <c r="AB163" s="391"/>
      <c r="AC163" s="316"/>
    </row>
    <row r="164" spans="1:29" x14ac:dyDescent="0.2">
      <c r="A164" s="101" t="s">
        <v>151</v>
      </c>
      <c r="B164" s="102" t="s">
        <v>130</v>
      </c>
      <c r="C164" s="25" t="s">
        <v>136</v>
      </c>
      <c r="D164" s="89" t="s">
        <v>18</v>
      </c>
      <c r="E164" s="26" t="s">
        <v>19</v>
      </c>
      <c r="F164" s="25" t="s">
        <v>19</v>
      </c>
      <c r="G164" s="25"/>
      <c r="H164" s="27">
        <f>H165+H168+H176+H189</f>
        <v>441199</v>
      </c>
      <c r="I164" s="31"/>
      <c r="J164" s="31"/>
      <c r="K164" s="32"/>
      <c r="L164" s="32"/>
      <c r="M164" s="32"/>
      <c r="N164" s="33"/>
      <c r="O164" s="27">
        <f>O165+O168+O176+O189</f>
        <v>381199</v>
      </c>
      <c r="P164" s="258">
        <f>P176+P189+P191+P192+P193</f>
        <v>190139</v>
      </c>
      <c r="Q164" s="258">
        <f t="shared" ref="Q164:X164" si="99">Q176+Q189+Q191+Q192+Q193</f>
        <v>38797.479999999996</v>
      </c>
      <c r="R164" s="258">
        <f t="shared" si="99"/>
        <v>0</v>
      </c>
      <c r="S164" s="258">
        <f t="shared" si="99"/>
        <v>0</v>
      </c>
      <c r="T164" s="258">
        <f t="shared" si="99"/>
        <v>0</v>
      </c>
      <c r="U164" s="258">
        <f>U176+U189+U191+U192+U193</f>
        <v>38797.479999999996</v>
      </c>
      <c r="V164" s="258">
        <f t="shared" si="99"/>
        <v>0</v>
      </c>
      <c r="W164" s="258"/>
      <c r="X164" s="258">
        <f t="shared" si="99"/>
        <v>228936.47999999998</v>
      </c>
      <c r="Y164" s="301"/>
      <c r="Z164" s="288"/>
      <c r="AA164" s="316"/>
      <c r="AB164" s="385"/>
      <c r="AC164" s="316"/>
    </row>
    <row r="165" spans="1:29" hidden="1" x14ac:dyDescent="0.2">
      <c r="A165" s="23" t="s">
        <v>57</v>
      </c>
      <c r="B165" s="96">
        <v>804</v>
      </c>
      <c r="C165" s="25" t="s">
        <v>136</v>
      </c>
      <c r="D165" s="30" t="s">
        <v>34</v>
      </c>
      <c r="E165" s="26" t="s">
        <v>46</v>
      </c>
      <c r="F165" s="25" t="s">
        <v>58</v>
      </c>
      <c r="G165" s="25"/>
      <c r="H165" s="45">
        <f>SUM(H166:H167)</f>
        <v>141199</v>
      </c>
      <c r="I165" s="31"/>
      <c r="J165" s="31"/>
      <c r="K165" s="32"/>
      <c r="L165" s="32"/>
      <c r="M165" s="32"/>
      <c r="N165" s="33"/>
      <c r="O165" s="45">
        <f>SUM(O166:O167)</f>
        <v>141199</v>
      </c>
      <c r="P165" s="353">
        <f>SUM(P166:P167)</f>
        <v>0</v>
      </c>
      <c r="Q165" s="353">
        <f t="shared" ref="Q165:X165" si="100">SUM(Q166:Q167)</f>
        <v>0</v>
      </c>
      <c r="R165" s="353">
        <f t="shared" si="100"/>
        <v>0</v>
      </c>
      <c r="S165" s="353">
        <f t="shared" si="100"/>
        <v>0</v>
      </c>
      <c r="T165" s="353">
        <f t="shared" si="100"/>
        <v>0</v>
      </c>
      <c r="U165" s="353">
        <f t="shared" si="100"/>
        <v>0</v>
      </c>
      <c r="V165" s="353"/>
      <c r="W165" s="353"/>
      <c r="X165" s="353">
        <f t="shared" si="100"/>
        <v>0</v>
      </c>
      <c r="Y165" s="301"/>
      <c r="Z165" s="288"/>
      <c r="AA165" s="316"/>
      <c r="AB165" s="395"/>
      <c r="AC165" s="316"/>
    </row>
    <row r="166" spans="1:29" ht="25.5" hidden="1" x14ac:dyDescent="0.2">
      <c r="A166" s="38" t="s">
        <v>152</v>
      </c>
      <c r="B166" s="39"/>
      <c r="C166" s="8"/>
      <c r="D166" s="8"/>
      <c r="E166" s="9"/>
      <c r="F166" s="8"/>
      <c r="G166" s="8" t="s">
        <v>64</v>
      </c>
      <c r="H166" s="31">
        <v>110000</v>
      </c>
      <c r="I166" s="31"/>
      <c r="J166" s="31"/>
      <c r="K166" s="32"/>
      <c r="L166" s="32"/>
      <c r="M166" s="32"/>
      <c r="N166" s="33"/>
      <c r="O166" s="31">
        <v>110000</v>
      </c>
      <c r="P166" s="260">
        <v>0</v>
      </c>
      <c r="Q166" s="260">
        <v>0</v>
      </c>
      <c r="R166" s="260">
        <v>0</v>
      </c>
      <c r="S166" s="260">
        <v>0</v>
      </c>
      <c r="T166" s="260">
        <v>0</v>
      </c>
      <c r="U166" s="260">
        <v>0</v>
      </c>
      <c r="V166" s="260"/>
      <c r="W166" s="260"/>
      <c r="X166" s="260">
        <v>0</v>
      </c>
      <c r="Y166" s="301"/>
      <c r="Z166" s="288"/>
      <c r="AA166" s="316"/>
      <c r="AB166" s="389"/>
      <c r="AC166" s="316"/>
    </row>
    <row r="167" spans="1:29" hidden="1" x14ac:dyDescent="0.2">
      <c r="A167" s="38" t="s">
        <v>153</v>
      </c>
      <c r="B167" s="39"/>
      <c r="C167" s="8"/>
      <c r="D167" s="8"/>
      <c r="E167" s="9"/>
      <c r="F167" s="8"/>
      <c r="G167" s="8" t="s">
        <v>64</v>
      </c>
      <c r="H167" s="31">
        <v>31199</v>
      </c>
      <c r="I167" s="31"/>
      <c r="J167" s="31"/>
      <c r="K167" s="32"/>
      <c r="L167" s="32"/>
      <c r="M167" s="32"/>
      <c r="N167" s="33"/>
      <c r="O167" s="31">
        <v>31199</v>
      </c>
      <c r="P167" s="260">
        <v>0</v>
      </c>
      <c r="Q167" s="260">
        <v>0</v>
      </c>
      <c r="R167" s="260">
        <v>0</v>
      </c>
      <c r="S167" s="260">
        <v>0</v>
      </c>
      <c r="T167" s="260">
        <v>0</v>
      </c>
      <c r="U167" s="260">
        <v>0</v>
      </c>
      <c r="V167" s="260"/>
      <c r="W167" s="260"/>
      <c r="X167" s="260">
        <v>0</v>
      </c>
      <c r="Y167" s="301"/>
      <c r="Z167" s="288"/>
      <c r="AA167" s="316"/>
      <c r="AB167" s="389"/>
      <c r="AC167" s="316"/>
    </row>
    <row r="168" spans="1:29" hidden="1" x14ac:dyDescent="0.2">
      <c r="A168" s="23" t="s">
        <v>65</v>
      </c>
      <c r="B168" s="79">
        <v>804</v>
      </c>
      <c r="C168" s="25" t="s">
        <v>136</v>
      </c>
      <c r="D168" s="43" t="s">
        <v>34</v>
      </c>
      <c r="E168" s="26" t="s">
        <v>19</v>
      </c>
      <c r="F168" s="25" t="s">
        <v>66</v>
      </c>
      <c r="G168" s="25"/>
      <c r="H168" s="45">
        <f>SUM(H169:H170)</f>
        <v>150000</v>
      </c>
      <c r="I168" s="31"/>
      <c r="J168" s="31"/>
      <c r="K168" s="32"/>
      <c r="L168" s="32"/>
      <c r="M168" s="32"/>
      <c r="N168" s="33"/>
      <c r="O168" s="45">
        <f>SUM(O169:O170)</f>
        <v>120000</v>
      </c>
      <c r="P168" s="353">
        <f>SUM(P169:P170)</f>
        <v>0</v>
      </c>
      <c r="Q168" s="353">
        <f t="shared" ref="Q168:X168" si="101">SUM(Q169:Q170)</f>
        <v>0</v>
      </c>
      <c r="R168" s="353">
        <f t="shared" si="101"/>
        <v>0</v>
      </c>
      <c r="S168" s="353">
        <f t="shared" si="101"/>
        <v>0</v>
      </c>
      <c r="T168" s="353">
        <f t="shared" si="101"/>
        <v>0</v>
      </c>
      <c r="U168" s="353">
        <f t="shared" si="101"/>
        <v>0</v>
      </c>
      <c r="V168" s="353"/>
      <c r="W168" s="353"/>
      <c r="X168" s="353">
        <f t="shared" si="101"/>
        <v>0</v>
      </c>
      <c r="Y168" s="301"/>
      <c r="Z168" s="288"/>
      <c r="AA168" s="316"/>
      <c r="AB168" s="395"/>
      <c r="AC168" s="316"/>
    </row>
    <row r="169" spans="1:29" hidden="1" x14ac:dyDescent="0.2">
      <c r="A169" s="60" t="s">
        <v>154</v>
      </c>
      <c r="B169" s="79"/>
      <c r="C169" s="25"/>
      <c r="D169" s="30"/>
      <c r="E169" s="62" t="s">
        <v>123</v>
      </c>
      <c r="F169" s="25"/>
      <c r="G169" s="30" t="s">
        <v>121</v>
      </c>
      <c r="H169" s="63">
        <v>45000</v>
      </c>
      <c r="I169" s="31"/>
      <c r="J169" s="31"/>
      <c r="K169" s="32"/>
      <c r="L169" s="32"/>
      <c r="M169" s="32"/>
      <c r="N169" s="33"/>
      <c r="O169" s="63">
        <f>45000*80%</f>
        <v>36000</v>
      </c>
      <c r="P169" s="262">
        <v>0</v>
      </c>
      <c r="Q169" s="262">
        <v>0</v>
      </c>
      <c r="R169" s="262">
        <v>0</v>
      </c>
      <c r="S169" s="262">
        <v>0</v>
      </c>
      <c r="T169" s="262">
        <v>0</v>
      </c>
      <c r="U169" s="262">
        <v>0</v>
      </c>
      <c r="V169" s="262"/>
      <c r="W169" s="262"/>
      <c r="X169" s="262">
        <v>0</v>
      </c>
      <c r="Y169" s="301"/>
      <c r="Z169" s="288"/>
      <c r="AA169" s="316"/>
      <c r="AB169" s="398"/>
      <c r="AC169" s="316"/>
    </row>
    <row r="170" spans="1:29" ht="25.5" hidden="1" x14ac:dyDescent="0.2">
      <c r="A170" s="80" t="s">
        <v>155</v>
      </c>
      <c r="B170" s="79"/>
      <c r="C170" s="25"/>
      <c r="D170" s="30"/>
      <c r="E170" s="62" t="s">
        <v>46</v>
      </c>
      <c r="F170" s="25"/>
      <c r="G170" s="30" t="s">
        <v>68</v>
      </c>
      <c r="H170" s="63">
        <v>105000</v>
      </c>
      <c r="I170" s="31"/>
      <c r="J170" s="31"/>
      <c r="K170" s="32"/>
      <c r="L170" s="32"/>
      <c r="M170" s="32"/>
      <c r="N170" s="33"/>
      <c r="O170" s="63">
        <f>105000*80%</f>
        <v>84000</v>
      </c>
      <c r="P170" s="262">
        <v>0</v>
      </c>
      <c r="Q170" s="262">
        <v>0</v>
      </c>
      <c r="R170" s="262">
        <v>0</v>
      </c>
      <c r="S170" s="262">
        <v>0</v>
      </c>
      <c r="T170" s="262">
        <v>0</v>
      </c>
      <c r="U170" s="262">
        <v>0</v>
      </c>
      <c r="V170" s="262"/>
      <c r="W170" s="262"/>
      <c r="X170" s="262">
        <v>0</v>
      </c>
      <c r="Y170" s="301"/>
      <c r="Z170" s="288"/>
      <c r="AA170" s="316"/>
      <c r="AB170" s="398"/>
      <c r="AC170" s="316"/>
    </row>
    <row r="171" spans="1:29" hidden="1" x14ac:dyDescent="0.2">
      <c r="A171" s="23" t="s">
        <v>87</v>
      </c>
      <c r="B171" s="79">
        <v>804</v>
      </c>
      <c r="C171" s="25" t="s">
        <v>136</v>
      </c>
      <c r="D171" s="25" t="s">
        <v>156</v>
      </c>
      <c r="E171" s="26" t="s">
        <v>46</v>
      </c>
      <c r="F171" s="25" t="s">
        <v>88</v>
      </c>
      <c r="G171" s="25" t="s">
        <v>90</v>
      </c>
      <c r="H171" s="27">
        <f>H176</f>
        <v>150000</v>
      </c>
      <c r="I171" s="31"/>
      <c r="J171" s="31"/>
      <c r="K171" s="32"/>
      <c r="L171" s="32"/>
      <c r="M171" s="32"/>
      <c r="N171" s="33"/>
      <c r="O171" s="27">
        <f>O176</f>
        <v>120000</v>
      </c>
      <c r="P171" s="258">
        <v>0</v>
      </c>
      <c r="Q171" s="258">
        <v>0</v>
      </c>
      <c r="R171" s="258">
        <v>0</v>
      </c>
      <c r="S171" s="258">
        <v>0</v>
      </c>
      <c r="T171" s="258">
        <v>0</v>
      </c>
      <c r="U171" s="258">
        <v>0</v>
      </c>
      <c r="V171" s="258"/>
      <c r="W171" s="258"/>
      <c r="X171" s="258">
        <v>0</v>
      </c>
      <c r="Y171" s="301"/>
      <c r="Z171" s="288"/>
      <c r="AA171" s="316"/>
      <c r="AB171" s="385"/>
      <c r="AC171" s="316"/>
    </row>
    <row r="172" spans="1:29" ht="25.5" hidden="1" x14ac:dyDescent="0.2">
      <c r="A172" s="40" t="s">
        <v>93</v>
      </c>
      <c r="B172" s="99">
        <v>804</v>
      </c>
      <c r="C172" s="30" t="s">
        <v>136</v>
      </c>
      <c r="D172" s="30" t="s">
        <v>156</v>
      </c>
      <c r="E172" s="62" t="s">
        <v>46</v>
      </c>
      <c r="F172" s="30" t="s">
        <v>88</v>
      </c>
      <c r="G172" s="30" t="s">
        <v>139</v>
      </c>
      <c r="H172" s="27"/>
      <c r="I172" s="31"/>
      <c r="J172" s="31"/>
      <c r="K172" s="32"/>
      <c r="L172" s="32"/>
      <c r="M172" s="32"/>
      <c r="N172" s="33"/>
      <c r="O172" s="27"/>
      <c r="P172" s="262">
        <v>0</v>
      </c>
      <c r="Q172" s="262">
        <v>0</v>
      </c>
      <c r="R172" s="262">
        <v>0</v>
      </c>
      <c r="S172" s="262">
        <v>0</v>
      </c>
      <c r="T172" s="262">
        <v>0</v>
      </c>
      <c r="U172" s="262">
        <v>0</v>
      </c>
      <c r="V172" s="262"/>
      <c r="W172" s="262"/>
      <c r="X172" s="262">
        <v>0</v>
      </c>
      <c r="Y172" s="301"/>
      <c r="Z172" s="288"/>
      <c r="AA172" s="316"/>
      <c r="AB172" s="398"/>
      <c r="AC172" s="316"/>
    </row>
    <row r="173" spans="1:29" hidden="1" x14ac:dyDescent="0.2">
      <c r="A173" s="40" t="s">
        <v>95</v>
      </c>
      <c r="B173" s="99">
        <v>804</v>
      </c>
      <c r="C173" s="30" t="s">
        <v>136</v>
      </c>
      <c r="D173" s="30" t="s">
        <v>156</v>
      </c>
      <c r="E173" s="62" t="s">
        <v>46</v>
      </c>
      <c r="F173" s="30" t="s">
        <v>88</v>
      </c>
      <c r="G173" s="30" t="s">
        <v>96</v>
      </c>
      <c r="H173" s="27"/>
      <c r="I173" s="31"/>
      <c r="J173" s="31"/>
      <c r="K173" s="32"/>
      <c r="L173" s="32"/>
      <c r="M173" s="32"/>
      <c r="N173" s="33"/>
      <c r="O173" s="27"/>
      <c r="P173" s="262">
        <v>0</v>
      </c>
      <c r="Q173" s="262">
        <v>0</v>
      </c>
      <c r="R173" s="262">
        <v>0</v>
      </c>
      <c r="S173" s="262">
        <v>0</v>
      </c>
      <c r="T173" s="262">
        <v>0</v>
      </c>
      <c r="U173" s="262">
        <v>0</v>
      </c>
      <c r="V173" s="262"/>
      <c r="W173" s="262"/>
      <c r="X173" s="262">
        <v>0</v>
      </c>
      <c r="Y173" s="301"/>
      <c r="Z173" s="288"/>
      <c r="AA173" s="316"/>
      <c r="AB173" s="398"/>
      <c r="AC173" s="316"/>
    </row>
    <row r="174" spans="1:29" hidden="1" x14ac:dyDescent="0.2">
      <c r="A174" s="23"/>
      <c r="B174" s="99">
        <v>804</v>
      </c>
      <c r="C174" s="30" t="s">
        <v>136</v>
      </c>
      <c r="D174" s="30" t="s">
        <v>157</v>
      </c>
      <c r="E174" s="62" t="s">
        <v>46</v>
      </c>
      <c r="F174" s="30" t="s">
        <v>88</v>
      </c>
      <c r="G174" s="25"/>
      <c r="H174" s="27"/>
      <c r="I174" s="31"/>
      <c r="J174" s="31"/>
      <c r="K174" s="32"/>
      <c r="L174" s="32"/>
      <c r="M174" s="32"/>
      <c r="N174" s="33"/>
      <c r="O174" s="27"/>
      <c r="P174" s="258"/>
      <c r="Q174" s="258"/>
      <c r="R174" s="258"/>
      <c r="S174" s="258"/>
      <c r="T174" s="258"/>
      <c r="U174" s="258"/>
      <c r="V174" s="258"/>
      <c r="W174" s="258"/>
      <c r="X174" s="258"/>
      <c r="Y174" s="301"/>
      <c r="Z174" s="288"/>
      <c r="AA174" s="316"/>
      <c r="AB174" s="385"/>
      <c r="AC174" s="316"/>
    </row>
    <row r="175" spans="1:29" hidden="1" x14ac:dyDescent="0.2">
      <c r="A175" s="23"/>
      <c r="B175" s="99">
        <v>804</v>
      </c>
      <c r="C175" s="30" t="s">
        <v>136</v>
      </c>
      <c r="D175" s="30" t="s">
        <v>157</v>
      </c>
      <c r="E175" s="62" t="s">
        <v>46</v>
      </c>
      <c r="F175" s="30" t="s">
        <v>88</v>
      </c>
      <c r="G175" s="25"/>
      <c r="H175" s="27"/>
      <c r="I175" s="31"/>
      <c r="J175" s="31"/>
      <c r="K175" s="32"/>
      <c r="L175" s="32"/>
      <c r="M175" s="32"/>
      <c r="N175" s="33"/>
      <c r="O175" s="27"/>
      <c r="P175" s="258"/>
      <c r="Q175" s="258"/>
      <c r="R175" s="258"/>
      <c r="S175" s="258"/>
      <c r="T175" s="258"/>
      <c r="U175" s="258"/>
      <c r="V175" s="258"/>
      <c r="W175" s="258"/>
      <c r="X175" s="258"/>
      <c r="Y175" s="301"/>
      <c r="Z175" s="288"/>
      <c r="AA175" s="316"/>
      <c r="AB175" s="385"/>
      <c r="AC175" s="316"/>
    </row>
    <row r="176" spans="1:29" x14ac:dyDescent="0.2">
      <c r="A176" s="23" t="s">
        <v>65</v>
      </c>
      <c r="B176" s="79">
        <v>804</v>
      </c>
      <c r="C176" s="25" t="s">
        <v>136</v>
      </c>
      <c r="D176" s="25" t="s">
        <v>157</v>
      </c>
      <c r="E176" s="26" t="s">
        <v>19</v>
      </c>
      <c r="F176" s="25" t="s">
        <v>66</v>
      </c>
      <c r="G176" s="25"/>
      <c r="H176" s="27">
        <f>H177</f>
        <v>150000</v>
      </c>
      <c r="I176" s="31"/>
      <c r="J176" s="31"/>
      <c r="K176" s="32"/>
      <c r="L176" s="32"/>
      <c r="M176" s="32"/>
      <c r="N176" s="33"/>
      <c r="O176" s="27">
        <f>O177</f>
        <v>120000</v>
      </c>
      <c r="P176" s="258">
        <f>SUM(P178:P188)</f>
        <v>105000</v>
      </c>
      <c r="Q176" s="258">
        <f t="shared" ref="Q176:X176" si="102">SUM(Q178:Q188)</f>
        <v>0</v>
      </c>
      <c r="R176" s="258">
        <f t="shared" si="102"/>
        <v>0</v>
      </c>
      <c r="S176" s="258">
        <f t="shared" si="102"/>
        <v>0</v>
      </c>
      <c r="T176" s="258">
        <f t="shared" si="102"/>
        <v>0</v>
      </c>
      <c r="U176" s="258">
        <f t="shared" si="102"/>
        <v>0</v>
      </c>
      <c r="V176" s="258">
        <f t="shared" si="102"/>
        <v>0</v>
      </c>
      <c r="W176" s="258"/>
      <c r="X176" s="258">
        <f t="shared" si="102"/>
        <v>105000</v>
      </c>
      <c r="Y176" s="301"/>
      <c r="Z176" s="288"/>
      <c r="AA176" s="316"/>
      <c r="AB176" s="385"/>
      <c r="AC176" s="316"/>
    </row>
    <row r="177" spans="1:29" ht="25.5" hidden="1" x14ac:dyDescent="0.2">
      <c r="A177" s="103" t="s">
        <v>158</v>
      </c>
      <c r="B177" s="104"/>
      <c r="C177" s="8"/>
      <c r="D177" s="8"/>
      <c r="E177" s="9" t="s">
        <v>46</v>
      </c>
      <c r="F177" s="8" t="s">
        <v>66</v>
      </c>
      <c r="G177" s="8" t="s">
        <v>69</v>
      </c>
      <c r="H177" s="31">
        <v>150000</v>
      </c>
      <c r="I177" s="31"/>
      <c r="J177" s="31"/>
      <c r="K177" s="32"/>
      <c r="L177" s="32"/>
      <c r="M177" s="32"/>
      <c r="N177" s="33"/>
      <c r="O177" s="31">
        <f>150000*80%</f>
        <v>120000</v>
      </c>
      <c r="P177" s="260">
        <v>0</v>
      </c>
      <c r="Q177" s="165">
        <f t="shared" ref="Q177:Q191" si="103">R177+S177+T177+U177</f>
        <v>0</v>
      </c>
      <c r="R177" s="165">
        <v>0</v>
      </c>
      <c r="S177" s="165"/>
      <c r="T177" s="165"/>
      <c r="U177" s="165"/>
      <c r="V177" s="165"/>
      <c r="W177" s="165"/>
      <c r="X177" s="165">
        <f t="shared" ref="X177:X194" si="104">P177+Q177</f>
        <v>0</v>
      </c>
      <c r="Y177" s="301"/>
      <c r="Z177" s="288"/>
      <c r="AA177" s="316"/>
      <c r="AB177" s="329"/>
      <c r="AC177" s="316"/>
    </row>
    <row r="178" spans="1:29" ht="25.5" x14ac:dyDescent="0.2">
      <c r="A178" s="105" t="s">
        <v>159</v>
      </c>
      <c r="B178" s="99"/>
      <c r="C178" s="30"/>
      <c r="D178" s="169" t="s">
        <v>157</v>
      </c>
      <c r="E178" s="298" t="s">
        <v>160</v>
      </c>
      <c r="F178" s="297" t="s">
        <v>493</v>
      </c>
      <c r="G178" s="297" t="s">
        <v>69</v>
      </c>
      <c r="H178" s="165"/>
      <c r="I178" s="165"/>
      <c r="J178" s="165"/>
      <c r="K178" s="301"/>
      <c r="L178" s="301"/>
      <c r="M178" s="301"/>
      <c r="N178" s="293"/>
      <c r="O178" s="165"/>
      <c r="P178" s="260">
        <v>100000</v>
      </c>
      <c r="Q178" s="165">
        <f>R178+S178+T178+U178+V178</f>
        <v>0</v>
      </c>
      <c r="R178" s="165">
        <v>0</v>
      </c>
      <c r="S178" s="165"/>
      <c r="T178" s="165"/>
      <c r="U178" s="165"/>
      <c r="V178" s="165"/>
      <c r="W178" s="165"/>
      <c r="X178" s="165">
        <f t="shared" si="104"/>
        <v>100000</v>
      </c>
      <c r="Y178" s="301"/>
      <c r="Z178" s="288"/>
      <c r="AA178" s="316"/>
      <c r="AB178" s="329"/>
      <c r="AC178" s="316"/>
    </row>
    <row r="179" spans="1:29" hidden="1" x14ac:dyDescent="0.2">
      <c r="A179" s="105" t="s">
        <v>161</v>
      </c>
      <c r="B179" s="99"/>
      <c r="C179" s="30"/>
      <c r="D179" s="169" t="s">
        <v>156</v>
      </c>
      <c r="E179" s="298" t="s">
        <v>162</v>
      </c>
      <c r="F179" s="297" t="s">
        <v>66</v>
      </c>
      <c r="G179" s="297" t="s">
        <v>163</v>
      </c>
      <c r="H179" s="165"/>
      <c r="I179" s="165"/>
      <c r="J179" s="165"/>
      <c r="K179" s="301"/>
      <c r="L179" s="301"/>
      <c r="M179" s="301"/>
      <c r="N179" s="293"/>
      <c r="O179" s="165"/>
      <c r="P179" s="260">
        <v>0</v>
      </c>
      <c r="Q179" s="165">
        <f t="shared" si="103"/>
        <v>0</v>
      </c>
      <c r="R179" s="165">
        <v>0</v>
      </c>
      <c r="S179" s="165"/>
      <c r="T179" s="165"/>
      <c r="U179" s="165">
        <v>0</v>
      </c>
      <c r="V179" s="165"/>
      <c r="W179" s="165"/>
      <c r="X179" s="165">
        <f t="shared" si="104"/>
        <v>0</v>
      </c>
      <c r="Y179" s="301"/>
      <c r="Z179" s="288"/>
      <c r="AA179" s="316"/>
      <c r="AB179" s="329"/>
      <c r="AC179" s="316"/>
    </row>
    <row r="180" spans="1:29" hidden="1" x14ac:dyDescent="0.2">
      <c r="A180" s="105" t="s">
        <v>433</v>
      </c>
      <c r="B180" s="99"/>
      <c r="C180" s="30"/>
      <c r="D180" s="169" t="s">
        <v>156</v>
      </c>
      <c r="E180" s="298" t="s">
        <v>162</v>
      </c>
      <c r="F180" s="297" t="s">
        <v>496</v>
      </c>
      <c r="G180" s="297" t="s">
        <v>69</v>
      </c>
      <c r="H180" s="165"/>
      <c r="I180" s="165"/>
      <c r="J180" s="165"/>
      <c r="K180" s="301"/>
      <c r="L180" s="301"/>
      <c r="M180" s="301"/>
      <c r="N180" s="293"/>
      <c r="O180" s="165"/>
      <c r="P180" s="260">
        <v>0</v>
      </c>
      <c r="Q180" s="165">
        <f t="shared" ref="Q180:Q189" si="105">R180+S180+T180+U180+V180</f>
        <v>0</v>
      </c>
      <c r="R180" s="165"/>
      <c r="S180" s="165"/>
      <c r="T180" s="165"/>
      <c r="U180" s="165">
        <v>0</v>
      </c>
      <c r="V180" s="165"/>
      <c r="W180" s="165"/>
      <c r="X180" s="165">
        <f t="shared" si="104"/>
        <v>0</v>
      </c>
      <c r="Y180" s="301"/>
      <c r="Z180" s="288"/>
      <c r="AA180" s="316"/>
      <c r="AB180" s="329"/>
      <c r="AC180" s="316"/>
    </row>
    <row r="181" spans="1:29" hidden="1" x14ac:dyDescent="0.2">
      <c r="A181" s="105" t="s">
        <v>517</v>
      </c>
      <c r="B181" s="99"/>
      <c r="C181" s="30"/>
      <c r="D181" s="169" t="s">
        <v>156</v>
      </c>
      <c r="E181" s="298" t="s">
        <v>162</v>
      </c>
      <c r="F181" s="297" t="s">
        <v>496</v>
      </c>
      <c r="G181" s="297" t="s">
        <v>121</v>
      </c>
      <c r="H181" s="165"/>
      <c r="I181" s="165"/>
      <c r="J181" s="165"/>
      <c r="K181" s="301"/>
      <c r="L181" s="301"/>
      <c r="M181" s="301"/>
      <c r="N181" s="293"/>
      <c r="O181" s="165"/>
      <c r="P181" s="260">
        <v>0</v>
      </c>
      <c r="Q181" s="165">
        <f t="shared" si="105"/>
        <v>0</v>
      </c>
      <c r="R181" s="165"/>
      <c r="S181" s="165">
        <v>0</v>
      </c>
      <c r="T181" s="165"/>
      <c r="U181" s="165"/>
      <c r="V181" s="165"/>
      <c r="W181" s="165"/>
      <c r="X181" s="165">
        <f t="shared" si="104"/>
        <v>0</v>
      </c>
      <c r="Y181" s="301"/>
      <c r="Z181" s="288"/>
      <c r="AA181" s="316"/>
      <c r="AB181" s="329"/>
      <c r="AC181" s="316"/>
    </row>
    <row r="182" spans="1:29" ht="25.5" x14ac:dyDescent="0.2">
      <c r="A182" s="105" t="s">
        <v>122</v>
      </c>
      <c r="B182" s="99"/>
      <c r="C182" s="30"/>
      <c r="D182" s="169" t="s">
        <v>156</v>
      </c>
      <c r="E182" s="298" t="s">
        <v>123</v>
      </c>
      <c r="F182" s="297" t="s">
        <v>495</v>
      </c>
      <c r="G182" s="297" t="s">
        <v>121</v>
      </c>
      <c r="H182" s="165"/>
      <c r="I182" s="165"/>
      <c r="J182" s="165"/>
      <c r="K182" s="301"/>
      <c r="L182" s="301"/>
      <c r="M182" s="301"/>
      <c r="N182" s="293"/>
      <c r="O182" s="165"/>
      <c r="P182" s="260">
        <v>5000</v>
      </c>
      <c r="Q182" s="165">
        <f t="shared" si="105"/>
        <v>0</v>
      </c>
      <c r="R182" s="165"/>
      <c r="S182" s="165"/>
      <c r="T182" s="165"/>
      <c r="U182" s="165"/>
      <c r="V182" s="165"/>
      <c r="W182" s="165"/>
      <c r="X182" s="165">
        <f t="shared" si="104"/>
        <v>5000</v>
      </c>
      <c r="Y182" s="301"/>
      <c r="Z182" s="288"/>
      <c r="AA182" s="316"/>
      <c r="AB182" s="329"/>
      <c r="AC182" s="316"/>
    </row>
    <row r="183" spans="1:29" hidden="1" x14ac:dyDescent="0.2">
      <c r="A183" s="105" t="s">
        <v>477</v>
      </c>
      <c r="B183" s="99"/>
      <c r="C183" s="30"/>
      <c r="D183" s="169" t="s">
        <v>156</v>
      </c>
      <c r="E183" s="298" t="s">
        <v>123</v>
      </c>
      <c r="F183" s="297" t="s">
        <v>496</v>
      </c>
      <c r="G183" s="297" t="s">
        <v>121</v>
      </c>
      <c r="H183" s="165"/>
      <c r="I183" s="165"/>
      <c r="J183" s="165"/>
      <c r="K183" s="301"/>
      <c r="L183" s="301"/>
      <c r="M183" s="301"/>
      <c r="N183" s="293"/>
      <c r="O183" s="165"/>
      <c r="P183" s="260">
        <v>0</v>
      </c>
      <c r="Q183" s="165">
        <f t="shared" si="105"/>
        <v>0</v>
      </c>
      <c r="R183" s="165">
        <v>0</v>
      </c>
      <c r="S183" s="165"/>
      <c r="T183" s="165"/>
      <c r="U183" s="165"/>
      <c r="V183" s="165"/>
      <c r="W183" s="165"/>
      <c r="X183" s="165">
        <f t="shared" si="104"/>
        <v>0</v>
      </c>
      <c r="Y183" s="301"/>
      <c r="Z183" s="288"/>
      <c r="AA183" s="316"/>
      <c r="AB183" s="329"/>
      <c r="AC183" s="316"/>
    </row>
    <row r="184" spans="1:29" ht="51" hidden="1" x14ac:dyDescent="0.2">
      <c r="A184" s="105" t="s">
        <v>498</v>
      </c>
      <c r="B184" s="79"/>
      <c r="C184" s="25"/>
      <c r="D184" s="169" t="s">
        <v>156</v>
      </c>
      <c r="E184" s="298" t="s">
        <v>162</v>
      </c>
      <c r="F184" s="297" t="s">
        <v>496</v>
      </c>
      <c r="G184" s="297" t="s">
        <v>497</v>
      </c>
      <c r="H184" s="165"/>
      <c r="I184" s="165"/>
      <c r="J184" s="165"/>
      <c r="K184" s="301"/>
      <c r="L184" s="301"/>
      <c r="M184" s="301"/>
      <c r="N184" s="293"/>
      <c r="O184" s="165"/>
      <c r="P184" s="260">
        <v>0</v>
      </c>
      <c r="Q184" s="165">
        <f t="shared" si="105"/>
        <v>0</v>
      </c>
      <c r="R184" s="165"/>
      <c r="S184" s="165"/>
      <c r="T184" s="165"/>
      <c r="U184" s="165"/>
      <c r="V184" s="165"/>
      <c r="W184" s="165"/>
      <c r="X184" s="165">
        <f t="shared" si="104"/>
        <v>0</v>
      </c>
      <c r="Y184" s="301"/>
      <c r="Z184" s="288"/>
      <c r="AA184" s="316"/>
      <c r="AB184" s="329"/>
      <c r="AC184" s="316"/>
    </row>
    <row r="185" spans="1:29" ht="38.25" hidden="1" x14ac:dyDescent="0.2">
      <c r="A185" s="105" t="s">
        <v>499</v>
      </c>
      <c r="B185" s="79"/>
      <c r="C185" s="25"/>
      <c r="D185" s="169" t="s">
        <v>156</v>
      </c>
      <c r="E185" s="298" t="s">
        <v>162</v>
      </c>
      <c r="F185" s="297" t="s">
        <v>496</v>
      </c>
      <c r="G185" s="297" t="s">
        <v>163</v>
      </c>
      <c r="H185" s="165"/>
      <c r="I185" s="165"/>
      <c r="J185" s="165"/>
      <c r="K185" s="301"/>
      <c r="L185" s="301"/>
      <c r="M185" s="301"/>
      <c r="N185" s="293"/>
      <c r="O185" s="165"/>
      <c r="P185" s="260">
        <v>0</v>
      </c>
      <c r="Q185" s="165">
        <f t="shared" si="105"/>
        <v>0</v>
      </c>
      <c r="R185" s="165"/>
      <c r="S185" s="165"/>
      <c r="T185" s="165"/>
      <c r="U185" s="165"/>
      <c r="V185" s="165"/>
      <c r="W185" s="165"/>
      <c r="X185" s="165">
        <f t="shared" si="104"/>
        <v>0</v>
      </c>
      <c r="Y185" s="301"/>
      <c r="Z185" s="288"/>
      <c r="AA185" s="316"/>
      <c r="AB185" s="329"/>
      <c r="AC185" s="316"/>
    </row>
    <row r="186" spans="1:29" ht="38.25" hidden="1" x14ac:dyDescent="0.2">
      <c r="A186" s="105" t="s">
        <v>500</v>
      </c>
      <c r="B186" s="79"/>
      <c r="C186" s="25"/>
      <c r="D186" s="169" t="s">
        <v>156</v>
      </c>
      <c r="E186" s="298" t="s">
        <v>162</v>
      </c>
      <c r="F186" s="297" t="s">
        <v>496</v>
      </c>
      <c r="G186" s="297" t="s">
        <v>69</v>
      </c>
      <c r="H186" s="165"/>
      <c r="I186" s="165"/>
      <c r="J186" s="165"/>
      <c r="K186" s="301"/>
      <c r="L186" s="301"/>
      <c r="M186" s="301"/>
      <c r="N186" s="293"/>
      <c r="O186" s="165"/>
      <c r="P186" s="260">
        <v>0</v>
      </c>
      <c r="Q186" s="165">
        <f t="shared" si="105"/>
        <v>0</v>
      </c>
      <c r="R186" s="165"/>
      <c r="S186" s="165"/>
      <c r="T186" s="165"/>
      <c r="U186" s="165"/>
      <c r="V186" s="165"/>
      <c r="W186" s="165"/>
      <c r="X186" s="165">
        <f t="shared" si="104"/>
        <v>0</v>
      </c>
      <c r="Y186" s="301"/>
      <c r="Z186" s="288"/>
      <c r="AA186" s="316"/>
      <c r="AB186" s="329"/>
      <c r="AC186" s="316"/>
    </row>
    <row r="187" spans="1:29" hidden="1" x14ac:dyDescent="0.2">
      <c r="A187" s="105" t="s">
        <v>516</v>
      </c>
      <c r="B187" s="79"/>
      <c r="C187" s="25"/>
      <c r="D187" s="169" t="s">
        <v>156</v>
      </c>
      <c r="E187" s="298" t="s">
        <v>123</v>
      </c>
      <c r="F187" s="297" t="s">
        <v>493</v>
      </c>
      <c r="G187" s="297" t="s">
        <v>121</v>
      </c>
      <c r="H187" s="165"/>
      <c r="I187" s="165"/>
      <c r="J187" s="165"/>
      <c r="K187" s="301"/>
      <c r="L187" s="301"/>
      <c r="M187" s="301"/>
      <c r="N187" s="293"/>
      <c r="O187" s="165"/>
      <c r="P187" s="260">
        <v>0</v>
      </c>
      <c r="Q187" s="165">
        <f t="shared" si="105"/>
        <v>0</v>
      </c>
      <c r="R187" s="165"/>
      <c r="S187" s="165"/>
      <c r="T187" s="165"/>
      <c r="U187" s="165"/>
      <c r="V187" s="165"/>
      <c r="W187" s="165"/>
      <c r="X187" s="165">
        <f t="shared" si="104"/>
        <v>0</v>
      </c>
      <c r="Y187" s="301"/>
      <c r="Z187" s="288"/>
      <c r="AA187" s="316"/>
      <c r="AB187" s="329"/>
      <c r="AC187" s="316"/>
    </row>
    <row r="188" spans="1:29" hidden="1" x14ac:dyDescent="0.2">
      <c r="A188" s="105" t="s">
        <v>516</v>
      </c>
      <c r="B188" s="79"/>
      <c r="C188" s="25"/>
      <c r="D188" s="169" t="s">
        <v>156</v>
      </c>
      <c r="E188" s="298" t="s">
        <v>123</v>
      </c>
      <c r="F188" s="297" t="s">
        <v>493</v>
      </c>
      <c r="G188" s="297" t="s">
        <v>69</v>
      </c>
      <c r="H188" s="165"/>
      <c r="I188" s="165"/>
      <c r="J188" s="165"/>
      <c r="K188" s="301"/>
      <c r="L188" s="301"/>
      <c r="M188" s="301"/>
      <c r="N188" s="293"/>
      <c r="O188" s="165"/>
      <c r="P188" s="260">
        <v>0</v>
      </c>
      <c r="Q188" s="165">
        <f t="shared" si="105"/>
        <v>0</v>
      </c>
      <c r="R188" s="165">
        <v>0</v>
      </c>
      <c r="S188" s="165"/>
      <c r="T188" s="165"/>
      <c r="U188" s="165"/>
      <c r="V188" s="165"/>
      <c r="W188" s="165"/>
      <c r="X188" s="165">
        <f t="shared" ref="X188" si="106">P188+Q188</f>
        <v>0</v>
      </c>
      <c r="Y188" s="301"/>
      <c r="Z188" s="288"/>
      <c r="AA188" s="316"/>
      <c r="AB188" s="329"/>
      <c r="AC188" s="316"/>
    </row>
    <row r="189" spans="1:29" x14ac:dyDescent="0.2">
      <c r="A189" s="53" t="s">
        <v>414</v>
      </c>
      <c r="B189" s="99">
        <v>804</v>
      </c>
      <c r="C189" s="30" t="s">
        <v>136</v>
      </c>
      <c r="D189" s="30" t="s">
        <v>501</v>
      </c>
      <c r="E189" s="62" t="s">
        <v>46</v>
      </c>
      <c r="F189" s="169" t="s">
        <v>58</v>
      </c>
      <c r="G189" s="169" t="s">
        <v>64</v>
      </c>
      <c r="H189" s="163">
        <f>H190</f>
        <v>0</v>
      </c>
      <c r="I189" s="163"/>
      <c r="J189" s="163"/>
      <c r="K189" s="292"/>
      <c r="L189" s="292"/>
      <c r="M189" s="292"/>
      <c r="N189" s="238"/>
      <c r="O189" s="163">
        <f>O190</f>
        <v>0</v>
      </c>
      <c r="P189" s="262">
        <v>65393</v>
      </c>
      <c r="Q189" s="165">
        <f t="shared" si="105"/>
        <v>32696.48</v>
      </c>
      <c r="R189" s="163">
        <v>0</v>
      </c>
      <c r="S189" s="163">
        <v>0</v>
      </c>
      <c r="T189" s="163"/>
      <c r="U189" s="163">
        <v>32696.48</v>
      </c>
      <c r="V189" s="163"/>
      <c r="W189" s="163"/>
      <c r="X189" s="165">
        <f t="shared" si="104"/>
        <v>98089.48</v>
      </c>
      <c r="Y189" s="301" t="s">
        <v>594</v>
      </c>
      <c r="Z189" s="288"/>
      <c r="AA189" s="316"/>
      <c r="AB189" s="332"/>
      <c r="AC189" s="316"/>
    </row>
    <row r="190" spans="1:29" ht="25.5" hidden="1" x14ac:dyDescent="0.2">
      <c r="A190" s="80" t="s">
        <v>132</v>
      </c>
      <c r="B190" s="41"/>
      <c r="C190" s="8"/>
      <c r="D190" s="30"/>
      <c r="E190" s="9"/>
      <c r="F190" s="297"/>
      <c r="G190" s="297" t="s">
        <v>79</v>
      </c>
      <c r="H190" s="299">
        <v>0</v>
      </c>
      <c r="I190" s="165"/>
      <c r="J190" s="165"/>
      <c r="K190" s="301"/>
      <c r="L190" s="301"/>
      <c r="M190" s="301"/>
      <c r="N190" s="293"/>
      <c r="O190" s="299">
        <v>0</v>
      </c>
      <c r="P190" s="335">
        <v>0</v>
      </c>
      <c r="Q190" s="165">
        <f t="shared" si="103"/>
        <v>0</v>
      </c>
      <c r="R190" s="299"/>
      <c r="S190" s="299"/>
      <c r="T190" s="299"/>
      <c r="U190" s="299"/>
      <c r="V190" s="299"/>
      <c r="W190" s="299"/>
      <c r="X190" s="165">
        <f t="shared" si="104"/>
        <v>0</v>
      </c>
      <c r="Y190" s="301"/>
      <c r="Z190" s="288"/>
      <c r="AA190" s="316"/>
      <c r="AB190" s="391"/>
      <c r="AC190" s="316"/>
    </row>
    <row r="191" spans="1:29" ht="38.25" hidden="1" x14ac:dyDescent="0.2">
      <c r="A191" s="80" t="s">
        <v>164</v>
      </c>
      <c r="B191" s="99">
        <v>804</v>
      </c>
      <c r="C191" s="30" t="s">
        <v>136</v>
      </c>
      <c r="D191" s="30" t="s">
        <v>501</v>
      </c>
      <c r="E191" s="62" t="s">
        <v>46</v>
      </c>
      <c r="F191" s="169" t="s">
        <v>66</v>
      </c>
      <c r="G191" s="169" t="s">
        <v>165</v>
      </c>
      <c r="H191" s="299"/>
      <c r="I191" s="165"/>
      <c r="J191" s="165"/>
      <c r="K191" s="301"/>
      <c r="L191" s="301"/>
      <c r="M191" s="301"/>
      <c r="N191" s="293"/>
      <c r="O191" s="299"/>
      <c r="P191" s="335">
        <v>0</v>
      </c>
      <c r="Q191" s="165">
        <f t="shared" si="103"/>
        <v>0</v>
      </c>
      <c r="R191" s="299"/>
      <c r="S191" s="163"/>
      <c r="T191" s="163"/>
      <c r="U191" s="163"/>
      <c r="V191" s="163"/>
      <c r="W191" s="163"/>
      <c r="X191" s="165">
        <f t="shared" si="104"/>
        <v>0</v>
      </c>
      <c r="Y191" s="301"/>
      <c r="Z191" s="288"/>
      <c r="AA191" s="316"/>
      <c r="AB191" s="391"/>
      <c r="AC191" s="316"/>
    </row>
    <row r="192" spans="1:29" ht="25.5" x14ac:dyDescent="0.2">
      <c r="A192" s="80" t="s">
        <v>155</v>
      </c>
      <c r="B192" s="99">
        <v>804</v>
      </c>
      <c r="C192" s="30" t="s">
        <v>136</v>
      </c>
      <c r="D192" s="30" t="s">
        <v>501</v>
      </c>
      <c r="E192" s="62" t="s">
        <v>46</v>
      </c>
      <c r="F192" s="169" t="s">
        <v>58</v>
      </c>
      <c r="G192" s="169" t="s">
        <v>68</v>
      </c>
      <c r="H192" s="299"/>
      <c r="I192" s="165"/>
      <c r="J192" s="165"/>
      <c r="K192" s="301"/>
      <c r="L192" s="301"/>
      <c r="M192" s="301"/>
      <c r="N192" s="293"/>
      <c r="O192" s="299"/>
      <c r="P192" s="335">
        <v>13746</v>
      </c>
      <c r="Q192" s="165">
        <f>R192+S192+T192+U192+V192</f>
        <v>6101</v>
      </c>
      <c r="R192" s="299">
        <v>0</v>
      </c>
      <c r="S192" s="163"/>
      <c r="T192" s="163"/>
      <c r="U192" s="163">
        <v>6101</v>
      </c>
      <c r="V192" s="163"/>
      <c r="W192" s="163"/>
      <c r="X192" s="165">
        <f t="shared" si="104"/>
        <v>19847</v>
      </c>
      <c r="Y192" s="301" t="s">
        <v>595</v>
      </c>
      <c r="Z192" s="288"/>
      <c r="AA192" s="316"/>
      <c r="AB192" s="391"/>
      <c r="AC192" s="316"/>
    </row>
    <row r="193" spans="1:29" ht="25.5" x14ac:dyDescent="0.2">
      <c r="A193" s="80" t="s">
        <v>155</v>
      </c>
      <c r="B193" s="99"/>
      <c r="C193" s="30"/>
      <c r="D193" s="30"/>
      <c r="E193" s="62" t="s">
        <v>160</v>
      </c>
      <c r="F193" s="169" t="s">
        <v>493</v>
      </c>
      <c r="G193" s="169" t="s">
        <v>69</v>
      </c>
      <c r="H193" s="299"/>
      <c r="I193" s="165"/>
      <c r="J193" s="165"/>
      <c r="K193" s="301"/>
      <c r="L193" s="301"/>
      <c r="M193" s="301"/>
      <c r="N193" s="293"/>
      <c r="O193" s="299"/>
      <c r="P193" s="335">
        <v>6000</v>
      </c>
      <c r="Q193" s="165">
        <f>R193+S193+T193+U193+V193</f>
        <v>0</v>
      </c>
      <c r="R193" s="299">
        <v>0</v>
      </c>
      <c r="S193" s="163"/>
      <c r="T193" s="163"/>
      <c r="U193" s="163"/>
      <c r="V193" s="163"/>
      <c r="W193" s="163"/>
      <c r="X193" s="165">
        <f>P193+Q193</f>
        <v>6000</v>
      </c>
      <c r="Y193" s="301" t="s">
        <v>595</v>
      </c>
      <c r="Z193" s="288"/>
      <c r="AA193" s="316"/>
      <c r="AB193" s="391"/>
      <c r="AC193" s="316"/>
    </row>
    <row r="194" spans="1:29" ht="38.25" hidden="1" x14ac:dyDescent="0.2">
      <c r="A194" s="48" t="s">
        <v>468</v>
      </c>
      <c r="B194" s="93">
        <v>804</v>
      </c>
      <c r="C194" s="43" t="s">
        <v>136</v>
      </c>
      <c r="D194" s="43" t="s">
        <v>467</v>
      </c>
      <c r="E194" s="44" t="s">
        <v>46</v>
      </c>
      <c r="F194" s="43" t="s">
        <v>58</v>
      </c>
      <c r="G194" s="43" t="s">
        <v>64</v>
      </c>
      <c r="H194" s="139"/>
      <c r="I194" s="45"/>
      <c r="J194" s="45"/>
      <c r="K194" s="46"/>
      <c r="L194" s="46"/>
      <c r="M194" s="46"/>
      <c r="N194" s="47"/>
      <c r="O194" s="139"/>
      <c r="P194" s="423">
        <v>0</v>
      </c>
      <c r="Q194" s="315">
        <f>R194+S194+T194+U194+V194</f>
        <v>0</v>
      </c>
      <c r="R194" s="425"/>
      <c r="S194" s="315"/>
      <c r="T194" s="315"/>
      <c r="U194" s="315"/>
      <c r="V194" s="315"/>
      <c r="W194" s="315"/>
      <c r="X194" s="315">
        <f t="shared" si="104"/>
        <v>0</v>
      </c>
      <c r="Y194" s="301"/>
      <c r="Z194" s="288"/>
      <c r="AA194" s="316"/>
      <c r="AB194" s="399"/>
      <c r="AC194" s="316"/>
    </row>
    <row r="195" spans="1:29" x14ac:dyDescent="0.2">
      <c r="A195" s="137" t="s">
        <v>477</v>
      </c>
      <c r="B195" s="93">
        <v>804</v>
      </c>
      <c r="C195" s="43" t="s">
        <v>136</v>
      </c>
      <c r="D195" s="43" t="s">
        <v>156</v>
      </c>
      <c r="E195" s="44" t="s">
        <v>162</v>
      </c>
      <c r="F195" s="30"/>
      <c r="G195" s="30"/>
      <c r="H195" s="139"/>
      <c r="I195" s="45"/>
      <c r="J195" s="45"/>
      <c r="K195" s="46"/>
      <c r="L195" s="46"/>
      <c r="M195" s="46"/>
      <c r="N195" s="47"/>
      <c r="O195" s="139"/>
      <c r="P195" s="423">
        <f>P196+P197+P198</f>
        <v>0</v>
      </c>
      <c r="Q195" s="315">
        <f>Q196+Q197+Q198</f>
        <v>4056047.7499999995</v>
      </c>
      <c r="R195" s="315">
        <f t="shared" ref="R195:W195" si="107">R196+R197+R198</f>
        <v>0</v>
      </c>
      <c r="S195" s="315">
        <f t="shared" si="107"/>
        <v>0</v>
      </c>
      <c r="T195" s="315">
        <f t="shared" si="107"/>
        <v>0</v>
      </c>
      <c r="U195" s="315">
        <f>U196+U197+U198</f>
        <v>56047.75</v>
      </c>
      <c r="V195" s="315">
        <f t="shared" si="107"/>
        <v>3999999.9999999995</v>
      </c>
      <c r="W195" s="315">
        <f t="shared" si="107"/>
        <v>0</v>
      </c>
      <c r="X195" s="315">
        <f>X196+X197+X198</f>
        <v>4056047.7499999995</v>
      </c>
      <c r="Y195" s="301"/>
      <c r="Z195" s="288"/>
      <c r="AA195" s="316"/>
      <c r="AB195" s="399"/>
      <c r="AC195" s="316"/>
    </row>
    <row r="196" spans="1:29" ht="51" x14ac:dyDescent="0.2">
      <c r="A196" s="105" t="s">
        <v>498</v>
      </c>
      <c r="B196" s="99"/>
      <c r="C196" s="30"/>
      <c r="D196" s="30"/>
      <c r="E196" s="62"/>
      <c r="F196" s="30" t="s">
        <v>496</v>
      </c>
      <c r="G196" s="30" t="s">
        <v>497</v>
      </c>
      <c r="H196" s="139"/>
      <c r="I196" s="45"/>
      <c r="J196" s="45"/>
      <c r="K196" s="46"/>
      <c r="L196" s="46"/>
      <c r="M196" s="46"/>
      <c r="N196" s="47"/>
      <c r="O196" s="139"/>
      <c r="P196" s="479">
        <v>0</v>
      </c>
      <c r="Q196" s="163">
        <f>R196+T196+U196+V196</f>
        <v>3503698.86</v>
      </c>
      <c r="R196" s="236"/>
      <c r="S196" s="163"/>
      <c r="T196" s="163"/>
      <c r="U196" s="163">
        <v>0</v>
      </c>
      <c r="V196" s="163">
        <v>3503698.86</v>
      </c>
      <c r="W196" s="163"/>
      <c r="X196" s="163">
        <f>P196+Q196</f>
        <v>3503698.86</v>
      </c>
      <c r="Y196" s="301"/>
      <c r="Z196" s="288"/>
      <c r="AA196" s="316"/>
      <c r="AB196" s="399"/>
      <c r="AC196" s="316"/>
    </row>
    <row r="197" spans="1:29" ht="38.25" x14ac:dyDescent="0.2">
      <c r="A197" s="105" t="s">
        <v>500</v>
      </c>
      <c r="B197" s="99"/>
      <c r="C197" s="30"/>
      <c r="D197" s="30"/>
      <c r="E197" s="62"/>
      <c r="F197" s="30" t="s">
        <v>496</v>
      </c>
      <c r="G197" s="30" t="s">
        <v>121</v>
      </c>
      <c r="H197" s="139"/>
      <c r="I197" s="45"/>
      <c r="J197" s="45"/>
      <c r="K197" s="46"/>
      <c r="L197" s="46"/>
      <c r="M197" s="46"/>
      <c r="N197" s="47"/>
      <c r="O197" s="139"/>
      <c r="P197" s="479">
        <v>0</v>
      </c>
      <c r="Q197" s="163">
        <f t="shared" ref="Q197:Q198" si="108">R197+T197+U197+V197</f>
        <v>470302.86</v>
      </c>
      <c r="R197" s="236"/>
      <c r="S197" s="163"/>
      <c r="T197" s="163"/>
      <c r="U197" s="163">
        <v>0</v>
      </c>
      <c r="V197" s="163">
        <v>470302.86</v>
      </c>
      <c r="W197" s="163"/>
      <c r="X197" s="163">
        <f t="shared" ref="X197:X198" si="109">P197+Q197</f>
        <v>470302.86</v>
      </c>
      <c r="Y197" s="301"/>
      <c r="Z197" s="288"/>
      <c r="AA197" s="316"/>
      <c r="AB197" s="399"/>
      <c r="AC197" s="316"/>
    </row>
    <row r="198" spans="1:29" ht="38.25" x14ac:dyDescent="0.2">
      <c r="A198" s="105" t="s">
        <v>499</v>
      </c>
      <c r="B198" s="99"/>
      <c r="C198" s="30"/>
      <c r="D198" s="30"/>
      <c r="E198" s="62"/>
      <c r="F198" s="30" t="s">
        <v>496</v>
      </c>
      <c r="G198" s="30" t="s">
        <v>163</v>
      </c>
      <c r="H198" s="139"/>
      <c r="I198" s="45"/>
      <c r="J198" s="45"/>
      <c r="K198" s="46"/>
      <c r="L198" s="46"/>
      <c r="M198" s="46"/>
      <c r="N198" s="47"/>
      <c r="O198" s="139"/>
      <c r="P198" s="479">
        <v>0</v>
      </c>
      <c r="Q198" s="163">
        <f t="shared" si="108"/>
        <v>82046.03</v>
      </c>
      <c r="R198" s="236"/>
      <c r="S198" s="163"/>
      <c r="T198" s="163"/>
      <c r="U198" s="163">
        <f>39630+16417.75</f>
        <v>56047.75</v>
      </c>
      <c r="V198" s="163">
        <f>42416.03-16417.75</f>
        <v>25998.28</v>
      </c>
      <c r="W198" s="163"/>
      <c r="X198" s="163">
        <f t="shared" si="109"/>
        <v>82046.03</v>
      </c>
      <c r="Y198" s="301"/>
      <c r="Z198" s="288"/>
      <c r="AA198" s="288"/>
      <c r="AB198" s="399"/>
      <c r="AC198" s="316"/>
    </row>
    <row r="199" spans="1:29" ht="20.25" customHeight="1" x14ac:dyDescent="0.2">
      <c r="A199" s="11" t="s">
        <v>166</v>
      </c>
      <c r="B199" s="12"/>
      <c r="C199" s="13" t="s">
        <v>167</v>
      </c>
      <c r="D199" s="13" t="s">
        <v>18</v>
      </c>
      <c r="E199" s="14" t="s">
        <v>19</v>
      </c>
      <c r="F199" s="13"/>
      <c r="G199" s="13"/>
      <c r="H199" s="15">
        <f t="shared" ref="H199:W200" si="110">H200</f>
        <v>452300</v>
      </c>
      <c r="I199" s="15">
        <f t="shared" si="110"/>
        <v>0</v>
      </c>
      <c r="J199" s="15">
        <f t="shared" si="110"/>
        <v>0</v>
      </c>
      <c r="K199" s="107">
        <f t="shared" si="110"/>
        <v>0</v>
      </c>
      <c r="L199" s="107">
        <f t="shared" si="110"/>
        <v>0</v>
      </c>
      <c r="M199" s="107">
        <f t="shared" si="110"/>
        <v>0</v>
      </c>
      <c r="N199" s="108">
        <f t="shared" si="110"/>
        <v>452300</v>
      </c>
      <c r="O199" s="15">
        <f t="shared" si="110"/>
        <v>399800</v>
      </c>
      <c r="P199" s="256">
        <f>P200</f>
        <v>687800</v>
      </c>
      <c r="Q199" s="256">
        <f t="shared" si="110"/>
        <v>0</v>
      </c>
      <c r="R199" s="256">
        <f>R200</f>
        <v>0</v>
      </c>
      <c r="S199" s="256">
        <f t="shared" si="110"/>
        <v>0</v>
      </c>
      <c r="T199" s="256">
        <f t="shared" si="110"/>
        <v>0</v>
      </c>
      <c r="U199" s="256">
        <f t="shared" si="110"/>
        <v>0</v>
      </c>
      <c r="V199" s="256">
        <f>V200</f>
        <v>0</v>
      </c>
      <c r="W199" s="256">
        <f t="shared" si="110"/>
        <v>0</v>
      </c>
      <c r="X199" s="256">
        <f>X200</f>
        <v>687800</v>
      </c>
      <c r="Y199" s="379"/>
      <c r="Z199" s="288"/>
      <c r="AA199" s="316"/>
      <c r="AB199" s="385"/>
      <c r="AC199" s="316"/>
    </row>
    <row r="200" spans="1:29" ht="20.25" hidden="1" customHeight="1" x14ac:dyDescent="0.2">
      <c r="A200" s="109" t="s">
        <v>168</v>
      </c>
      <c r="B200" s="79">
        <v>804</v>
      </c>
      <c r="C200" s="25" t="s">
        <v>169</v>
      </c>
      <c r="D200" s="25" t="s">
        <v>170</v>
      </c>
      <c r="E200" s="26" t="s">
        <v>19</v>
      </c>
      <c r="F200" s="25"/>
      <c r="G200" s="8"/>
      <c r="H200" s="27">
        <f t="shared" si="110"/>
        <v>452300</v>
      </c>
      <c r="I200" s="27">
        <f t="shared" si="110"/>
        <v>0</v>
      </c>
      <c r="J200" s="27">
        <f t="shared" si="110"/>
        <v>0</v>
      </c>
      <c r="K200" s="28">
        <f t="shared" si="110"/>
        <v>0</v>
      </c>
      <c r="L200" s="28">
        <f t="shared" si="110"/>
        <v>0</v>
      </c>
      <c r="M200" s="28">
        <f t="shared" si="110"/>
        <v>0</v>
      </c>
      <c r="N200" s="29">
        <f t="shared" si="110"/>
        <v>452300</v>
      </c>
      <c r="O200" s="27">
        <f t="shared" si="110"/>
        <v>399800</v>
      </c>
      <c r="P200" s="258">
        <f>P201</f>
        <v>687800</v>
      </c>
      <c r="Q200" s="258">
        <f>Q201</f>
        <v>0</v>
      </c>
      <c r="R200" s="258">
        <f>R201</f>
        <v>0</v>
      </c>
      <c r="S200" s="124">
        <f>S201</f>
        <v>0</v>
      </c>
      <c r="T200" s="124">
        <f>T201</f>
        <v>0</v>
      </c>
      <c r="U200" s="124">
        <f t="shared" si="110"/>
        <v>0</v>
      </c>
      <c r="V200" s="124">
        <f>V201</f>
        <v>0</v>
      </c>
      <c r="W200" s="124">
        <f>W201</f>
        <v>0</v>
      </c>
      <c r="X200" s="165">
        <f>P200+Q200</f>
        <v>687800</v>
      </c>
      <c r="Y200" s="301"/>
      <c r="Z200" s="288"/>
      <c r="AA200" s="316"/>
      <c r="AB200" s="386"/>
      <c r="AC200" s="316"/>
    </row>
    <row r="201" spans="1:29" ht="21" customHeight="1" x14ac:dyDescent="0.2">
      <c r="A201" s="16" t="s">
        <v>171</v>
      </c>
      <c r="B201" s="17">
        <v>804</v>
      </c>
      <c r="C201" s="18" t="s">
        <v>169</v>
      </c>
      <c r="D201" s="18" t="s">
        <v>170</v>
      </c>
      <c r="E201" s="19" t="s">
        <v>19</v>
      </c>
      <c r="F201" s="18"/>
      <c r="G201" s="18"/>
      <c r="H201" s="20">
        <f t="shared" ref="H201:N201" si="111">H202+H209+H217</f>
        <v>452300</v>
      </c>
      <c r="I201" s="20">
        <f t="shared" si="111"/>
        <v>0</v>
      </c>
      <c r="J201" s="20">
        <f t="shared" si="111"/>
        <v>0</v>
      </c>
      <c r="K201" s="21">
        <f t="shared" si="111"/>
        <v>0</v>
      </c>
      <c r="L201" s="21">
        <f t="shared" si="111"/>
        <v>0</v>
      </c>
      <c r="M201" s="21">
        <f t="shared" si="111"/>
        <v>0</v>
      </c>
      <c r="N201" s="22">
        <f t="shared" si="111"/>
        <v>452300</v>
      </c>
      <c r="O201" s="20">
        <f>O202+O209+O217</f>
        <v>399800</v>
      </c>
      <c r="P201" s="257">
        <f t="shared" ref="P201:X201" si="112">P202+P209+P222+P223+P224</f>
        <v>687800</v>
      </c>
      <c r="Q201" s="257">
        <f t="shared" si="112"/>
        <v>0</v>
      </c>
      <c r="R201" s="257">
        <f t="shared" si="112"/>
        <v>0</v>
      </c>
      <c r="S201" s="257">
        <f t="shared" si="112"/>
        <v>0</v>
      </c>
      <c r="T201" s="257">
        <f t="shared" si="112"/>
        <v>0</v>
      </c>
      <c r="U201" s="257">
        <f t="shared" si="112"/>
        <v>0</v>
      </c>
      <c r="V201" s="257">
        <f t="shared" si="112"/>
        <v>0</v>
      </c>
      <c r="W201" s="257">
        <f t="shared" si="112"/>
        <v>0</v>
      </c>
      <c r="X201" s="257">
        <f t="shared" si="112"/>
        <v>687800</v>
      </c>
      <c r="Y201" s="382"/>
      <c r="Z201" s="288"/>
      <c r="AA201" s="316"/>
      <c r="AB201" s="385"/>
      <c r="AC201" s="316"/>
    </row>
    <row r="202" spans="1:29" ht="25.5" customHeight="1" x14ac:dyDescent="0.2">
      <c r="A202" s="23" t="s">
        <v>24</v>
      </c>
      <c r="B202" s="79">
        <v>804</v>
      </c>
      <c r="C202" s="25" t="s">
        <v>169</v>
      </c>
      <c r="D202" s="25" t="s">
        <v>170</v>
      </c>
      <c r="E202" s="26" t="s">
        <v>19</v>
      </c>
      <c r="F202" s="25" t="s">
        <v>25</v>
      </c>
      <c r="G202" s="25"/>
      <c r="H202" s="27">
        <f t="shared" ref="H202:N202" si="113">H203+H204+H208</f>
        <v>452300</v>
      </c>
      <c r="I202" s="27">
        <f t="shared" si="113"/>
        <v>0</v>
      </c>
      <c r="J202" s="27">
        <f t="shared" si="113"/>
        <v>0</v>
      </c>
      <c r="K202" s="28">
        <f t="shared" si="113"/>
        <v>0</v>
      </c>
      <c r="L202" s="28">
        <f t="shared" si="113"/>
        <v>0</v>
      </c>
      <c r="M202" s="28">
        <f t="shared" si="113"/>
        <v>0</v>
      </c>
      <c r="N202" s="29">
        <f t="shared" si="113"/>
        <v>452300</v>
      </c>
      <c r="O202" s="27">
        <f t="shared" ref="O202:X202" si="114">O203+O204+O208</f>
        <v>399800</v>
      </c>
      <c r="P202" s="258">
        <f>P203+P204+P208</f>
        <v>536050.64</v>
      </c>
      <c r="Q202" s="258">
        <f>Q203+Q204+Q208</f>
        <v>19398.719999999998</v>
      </c>
      <c r="R202" s="258">
        <f t="shared" si="114"/>
        <v>19398.719999999998</v>
      </c>
      <c r="S202" s="258">
        <f t="shared" si="114"/>
        <v>0</v>
      </c>
      <c r="T202" s="258">
        <f t="shared" si="114"/>
        <v>0</v>
      </c>
      <c r="U202" s="258">
        <f t="shared" si="114"/>
        <v>0</v>
      </c>
      <c r="V202" s="258">
        <f t="shared" si="114"/>
        <v>0</v>
      </c>
      <c r="W202" s="258">
        <f t="shared" si="114"/>
        <v>0</v>
      </c>
      <c r="X202" s="258">
        <f t="shared" si="114"/>
        <v>555449.36</v>
      </c>
      <c r="Y202" s="301"/>
      <c r="Z202" s="288"/>
      <c r="AA202" s="316"/>
      <c r="AB202" s="385"/>
      <c r="AC202" s="316"/>
    </row>
    <row r="203" spans="1:29" ht="12.75" customHeight="1" x14ac:dyDescent="0.2">
      <c r="A203" s="6" t="s">
        <v>26</v>
      </c>
      <c r="B203" s="98">
        <v>804</v>
      </c>
      <c r="C203" s="8" t="s">
        <v>169</v>
      </c>
      <c r="D203" s="30"/>
      <c r="E203" s="9" t="s">
        <v>23</v>
      </c>
      <c r="F203" s="8" t="s">
        <v>27</v>
      </c>
      <c r="G203" s="8" t="s">
        <v>633</v>
      </c>
      <c r="H203" s="31">
        <f>452300-H208</f>
        <v>347888</v>
      </c>
      <c r="I203" s="31">
        <f>SUM(J203:M203)</f>
        <v>0</v>
      </c>
      <c r="J203" s="31"/>
      <c r="K203" s="32"/>
      <c r="L203" s="32"/>
      <c r="M203" s="32"/>
      <c r="N203" s="33">
        <f>H203+I203</f>
        <v>347888</v>
      </c>
      <c r="O203" s="31">
        <v>307065.57</v>
      </c>
      <c r="P203" s="260">
        <v>357949.8</v>
      </c>
      <c r="Q203" s="165">
        <f>R203+S203+T203+U203+V203+W203</f>
        <v>18480.8</v>
      </c>
      <c r="R203" s="165">
        <v>18480.8</v>
      </c>
      <c r="S203" s="165"/>
      <c r="T203" s="165"/>
      <c r="U203" s="165"/>
      <c r="V203" s="165"/>
      <c r="W203" s="165">
        <v>0</v>
      </c>
      <c r="X203" s="165">
        <f>P203+Q203</f>
        <v>376430.6</v>
      </c>
      <c r="Y203" s="301"/>
      <c r="Z203" s="288"/>
      <c r="AA203" s="288"/>
      <c r="AB203" s="329"/>
      <c r="AC203" s="316"/>
    </row>
    <row r="204" spans="1:29" ht="12.75" customHeight="1" x14ac:dyDescent="0.2">
      <c r="A204" s="6" t="s">
        <v>36</v>
      </c>
      <c r="B204" s="98">
        <v>804</v>
      </c>
      <c r="C204" s="8" t="s">
        <v>169</v>
      </c>
      <c r="D204" s="30"/>
      <c r="E204" s="298" t="s">
        <v>84</v>
      </c>
      <c r="F204" s="297" t="s">
        <v>558</v>
      </c>
      <c r="G204" s="297"/>
      <c r="H204" s="299">
        <f>H205+H206+H207</f>
        <v>0</v>
      </c>
      <c r="I204" s="299">
        <f t="shared" ref="I204:N204" si="115">I205+I206+I207</f>
        <v>0</v>
      </c>
      <c r="J204" s="299">
        <f t="shared" si="115"/>
        <v>0</v>
      </c>
      <c r="K204" s="300">
        <f t="shared" si="115"/>
        <v>0</v>
      </c>
      <c r="L204" s="300">
        <f t="shared" si="115"/>
        <v>0</v>
      </c>
      <c r="M204" s="300">
        <f t="shared" si="115"/>
        <v>0</v>
      </c>
      <c r="N204" s="371">
        <f t="shared" si="115"/>
        <v>0</v>
      </c>
      <c r="O204" s="299">
        <f>O205+O206+O207</f>
        <v>0</v>
      </c>
      <c r="P204" s="335">
        <f>P205+P206+P207</f>
        <v>70000</v>
      </c>
      <c r="Q204" s="335">
        <f>Q205+Q206+Q207</f>
        <v>0</v>
      </c>
      <c r="R204" s="335">
        <f t="shared" ref="R204:X204" si="116">R205+R206+R207</f>
        <v>0</v>
      </c>
      <c r="S204" s="335">
        <f t="shared" si="116"/>
        <v>0</v>
      </c>
      <c r="T204" s="335">
        <f t="shared" si="116"/>
        <v>0</v>
      </c>
      <c r="U204" s="335">
        <f t="shared" si="116"/>
        <v>0</v>
      </c>
      <c r="V204" s="335">
        <f t="shared" si="116"/>
        <v>0</v>
      </c>
      <c r="W204" s="335"/>
      <c r="X204" s="335">
        <f t="shared" si="116"/>
        <v>70000</v>
      </c>
      <c r="Y204" s="301"/>
      <c r="Z204" s="288"/>
      <c r="AA204" s="316"/>
      <c r="AB204" s="391"/>
      <c r="AC204" s="316"/>
    </row>
    <row r="205" spans="1:29" ht="25.5" hidden="1" customHeight="1" x14ac:dyDescent="0.2">
      <c r="A205" s="38" t="s">
        <v>173</v>
      </c>
      <c r="B205" s="39"/>
      <c r="C205" s="8"/>
      <c r="D205" s="8"/>
      <c r="E205" s="298"/>
      <c r="F205" s="297"/>
      <c r="G205" s="297" t="s">
        <v>484</v>
      </c>
      <c r="H205" s="165">
        <v>0</v>
      </c>
      <c r="I205" s="165">
        <f>SUM(J205:M205)</f>
        <v>0</v>
      </c>
      <c r="J205" s="165">
        <v>0</v>
      </c>
      <c r="K205" s="301">
        <v>0</v>
      </c>
      <c r="L205" s="301">
        <v>0</v>
      </c>
      <c r="M205" s="301">
        <v>0</v>
      </c>
      <c r="N205" s="293">
        <f>H205+I205</f>
        <v>0</v>
      </c>
      <c r="O205" s="165">
        <v>0</v>
      </c>
      <c r="P205" s="260">
        <v>0</v>
      </c>
      <c r="Q205" s="165">
        <f>R205+S205+T205+U205+V205</f>
        <v>0</v>
      </c>
      <c r="R205" s="165"/>
      <c r="S205" s="165"/>
      <c r="T205" s="165"/>
      <c r="U205" s="165"/>
      <c r="V205" s="165"/>
      <c r="W205" s="165"/>
      <c r="X205" s="165">
        <f>P205+Q205</f>
        <v>0</v>
      </c>
      <c r="Y205" s="301"/>
      <c r="Z205" s="288"/>
      <c r="AA205" s="316"/>
      <c r="AB205" s="391"/>
      <c r="AC205" s="316"/>
    </row>
    <row r="206" spans="1:29" ht="12.75" hidden="1" customHeight="1" x14ac:dyDescent="0.2">
      <c r="A206" s="38" t="s">
        <v>174</v>
      </c>
      <c r="B206" s="39"/>
      <c r="C206" s="8"/>
      <c r="D206" s="8"/>
      <c r="E206" s="298"/>
      <c r="F206" s="297"/>
      <c r="G206" s="297"/>
      <c r="H206" s="165">
        <v>0</v>
      </c>
      <c r="I206" s="165">
        <f>SUM(J206:M206)</f>
        <v>0</v>
      </c>
      <c r="J206" s="165">
        <v>0</v>
      </c>
      <c r="K206" s="301">
        <v>0</v>
      </c>
      <c r="L206" s="301">
        <v>0</v>
      </c>
      <c r="M206" s="301">
        <v>0</v>
      </c>
      <c r="N206" s="293">
        <v>0</v>
      </c>
      <c r="O206" s="165">
        <v>0</v>
      </c>
      <c r="P206" s="260">
        <v>0</v>
      </c>
      <c r="Q206" s="165">
        <f>R206+S206+T206+U206</f>
        <v>0</v>
      </c>
      <c r="R206" s="165"/>
      <c r="S206" s="165"/>
      <c r="T206" s="165"/>
      <c r="U206" s="165"/>
      <c r="V206" s="165"/>
      <c r="W206" s="165"/>
      <c r="X206" s="165"/>
      <c r="Y206" s="301"/>
      <c r="Z206" s="288"/>
      <c r="AA206" s="316"/>
      <c r="AB206" s="329"/>
      <c r="AC206" s="316"/>
    </row>
    <row r="207" spans="1:29" ht="25.5" customHeight="1" x14ac:dyDescent="0.2">
      <c r="A207" s="40" t="s">
        <v>385</v>
      </c>
      <c r="B207" s="41"/>
      <c r="C207" s="8"/>
      <c r="D207" s="8"/>
      <c r="E207" s="298"/>
      <c r="F207" s="297" t="s">
        <v>558</v>
      </c>
      <c r="G207" s="297" t="s">
        <v>634</v>
      </c>
      <c r="H207" s="165">
        <v>0</v>
      </c>
      <c r="I207" s="165">
        <f>SUM(J207:M207)</f>
        <v>0</v>
      </c>
      <c r="J207" s="165">
        <v>0</v>
      </c>
      <c r="K207" s="301">
        <v>0</v>
      </c>
      <c r="L207" s="301">
        <v>0</v>
      </c>
      <c r="M207" s="301">
        <v>0</v>
      </c>
      <c r="N207" s="293">
        <f>H207+I207</f>
        <v>0</v>
      </c>
      <c r="O207" s="165">
        <v>0</v>
      </c>
      <c r="P207" s="260">
        <v>70000</v>
      </c>
      <c r="Q207" s="165">
        <f>R207+S207+T207+U207+V207</f>
        <v>0</v>
      </c>
      <c r="R207" s="165">
        <v>0</v>
      </c>
      <c r="S207" s="165"/>
      <c r="T207" s="165"/>
      <c r="U207" s="165"/>
      <c r="V207" s="165"/>
      <c r="W207" s="165"/>
      <c r="X207" s="165">
        <f>P207+Q207</f>
        <v>70000</v>
      </c>
      <c r="Y207" s="301"/>
      <c r="Z207" s="288"/>
      <c r="AA207" s="316"/>
      <c r="AB207" s="329"/>
      <c r="AC207" s="316"/>
    </row>
    <row r="208" spans="1:29" ht="12.75" customHeight="1" x14ac:dyDescent="0.2">
      <c r="A208" s="6" t="s">
        <v>28</v>
      </c>
      <c r="B208" s="98">
        <v>804</v>
      </c>
      <c r="C208" s="8" t="s">
        <v>169</v>
      </c>
      <c r="D208" s="30"/>
      <c r="E208" s="298" t="s">
        <v>29</v>
      </c>
      <c r="F208" s="297" t="s">
        <v>30</v>
      </c>
      <c r="G208" s="297" t="s">
        <v>633</v>
      </c>
      <c r="H208" s="165">
        <v>104412</v>
      </c>
      <c r="I208" s="165"/>
      <c r="J208" s="165"/>
      <c r="K208" s="301"/>
      <c r="L208" s="301"/>
      <c r="M208" s="301"/>
      <c r="N208" s="293">
        <f>H208+I208</f>
        <v>104412</v>
      </c>
      <c r="O208" s="165">
        <v>92734.43</v>
      </c>
      <c r="P208" s="260">
        <v>108100.84</v>
      </c>
      <c r="Q208" s="165">
        <f>R208+S208+T208+U208+V208+W208</f>
        <v>917.92</v>
      </c>
      <c r="R208" s="165">
        <v>917.92</v>
      </c>
      <c r="S208" s="165"/>
      <c r="T208" s="165"/>
      <c r="U208" s="165"/>
      <c r="V208" s="165"/>
      <c r="W208" s="165">
        <v>0</v>
      </c>
      <c r="X208" s="165">
        <f>P208+Q208</f>
        <v>109018.76</v>
      </c>
      <c r="Y208" s="301"/>
      <c r="Z208" s="288"/>
      <c r="AA208" s="316"/>
      <c r="AB208" s="329"/>
      <c r="AC208" s="316"/>
    </row>
    <row r="209" spans="1:29" ht="12.75" hidden="1" customHeight="1" x14ac:dyDescent="0.2">
      <c r="A209" s="23" t="s">
        <v>41</v>
      </c>
      <c r="B209" s="79">
        <v>804</v>
      </c>
      <c r="C209" s="25" t="s">
        <v>169</v>
      </c>
      <c r="D209" s="25" t="s">
        <v>170</v>
      </c>
      <c r="E209" s="123" t="s">
        <v>46</v>
      </c>
      <c r="F209" s="89" t="s">
        <v>42</v>
      </c>
      <c r="G209" s="89"/>
      <c r="H209" s="124">
        <f t="shared" ref="H209:N209" si="117">H210+H211+H214</f>
        <v>0</v>
      </c>
      <c r="I209" s="124">
        <f t="shared" si="117"/>
        <v>0</v>
      </c>
      <c r="J209" s="124">
        <f t="shared" si="117"/>
        <v>0</v>
      </c>
      <c r="K209" s="359">
        <f t="shared" si="117"/>
        <v>0</v>
      </c>
      <c r="L209" s="359">
        <f t="shared" si="117"/>
        <v>0</v>
      </c>
      <c r="M209" s="359">
        <f t="shared" si="117"/>
        <v>0</v>
      </c>
      <c r="N209" s="360">
        <f t="shared" si="117"/>
        <v>0</v>
      </c>
      <c r="O209" s="124">
        <f>O210+O211+O214</f>
        <v>0</v>
      </c>
      <c r="P209" s="258">
        <f>P210+P211+P214</f>
        <v>0</v>
      </c>
      <c r="Q209" s="165">
        <f>Q214</f>
        <v>0</v>
      </c>
      <c r="R209" s="165">
        <f t="shared" ref="R209:X209" si="118">R214</f>
        <v>0</v>
      </c>
      <c r="S209" s="165">
        <f t="shared" si="118"/>
        <v>0</v>
      </c>
      <c r="T209" s="165">
        <f t="shared" si="118"/>
        <v>0</v>
      </c>
      <c r="U209" s="165">
        <f t="shared" si="118"/>
        <v>0</v>
      </c>
      <c r="V209" s="165">
        <f t="shared" si="118"/>
        <v>0</v>
      </c>
      <c r="W209" s="165"/>
      <c r="X209" s="165">
        <f t="shared" si="118"/>
        <v>0</v>
      </c>
      <c r="Y209" s="301"/>
      <c r="Z209" s="288"/>
      <c r="AA209" s="316"/>
      <c r="AB209" s="386"/>
      <c r="AC209" s="316"/>
    </row>
    <row r="210" spans="1:29" ht="12.75" hidden="1" customHeight="1" x14ac:dyDescent="0.2">
      <c r="A210" s="6" t="s">
        <v>86</v>
      </c>
      <c r="B210" s="98">
        <v>804</v>
      </c>
      <c r="C210" s="8" t="s">
        <v>169</v>
      </c>
      <c r="D210" s="25" t="s">
        <v>170</v>
      </c>
      <c r="E210" s="298" t="s">
        <v>46</v>
      </c>
      <c r="F210" s="297" t="s">
        <v>45</v>
      </c>
      <c r="G210" s="297"/>
      <c r="H210" s="165">
        <v>0</v>
      </c>
      <c r="I210" s="165">
        <f>SUM(J210:M210)</f>
        <v>0</v>
      </c>
      <c r="J210" s="165">
        <v>0</v>
      </c>
      <c r="K210" s="301">
        <v>0</v>
      </c>
      <c r="L210" s="301">
        <v>0</v>
      </c>
      <c r="M210" s="301">
        <v>0</v>
      </c>
      <c r="N210" s="293">
        <f>H210+I210</f>
        <v>0</v>
      </c>
      <c r="O210" s="165">
        <v>0</v>
      </c>
      <c r="P210" s="260">
        <v>0</v>
      </c>
      <c r="Q210" s="165">
        <f>R210+S210+T210+U210</f>
        <v>0</v>
      </c>
      <c r="R210" s="165"/>
      <c r="S210" s="165"/>
      <c r="T210" s="165"/>
      <c r="U210" s="165"/>
      <c r="V210" s="165"/>
      <c r="W210" s="165"/>
      <c r="X210" s="165">
        <f>P210+Q210</f>
        <v>0</v>
      </c>
      <c r="Y210" s="301"/>
      <c r="Z210" s="288"/>
      <c r="AA210" s="316"/>
      <c r="AB210" s="329"/>
      <c r="AC210" s="316"/>
    </row>
    <row r="211" spans="1:29" ht="12.75" hidden="1" customHeight="1" x14ac:dyDescent="0.2">
      <c r="A211" s="6" t="s">
        <v>47</v>
      </c>
      <c r="B211" s="98">
        <v>804</v>
      </c>
      <c r="C211" s="8" t="s">
        <v>169</v>
      </c>
      <c r="D211" s="25" t="s">
        <v>170</v>
      </c>
      <c r="E211" s="298" t="s">
        <v>46</v>
      </c>
      <c r="F211" s="297" t="s">
        <v>48</v>
      </c>
      <c r="G211" s="297"/>
      <c r="H211" s="165">
        <f t="shared" ref="H211:N211" si="119">H212+H213</f>
        <v>0</v>
      </c>
      <c r="I211" s="165">
        <f t="shared" si="119"/>
        <v>0</v>
      </c>
      <c r="J211" s="165">
        <f t="shared" si="119"/>
        <v>0</v>
      </c>
      <c r="K211" s="301">
        <f t="shared" si="119"/>
        <v>0</v>
      </c>
      <c r="L211" s="301">
        <f t="shared" si="119"/>
        <v>0</v>
      </c>
      <c r="M211" s="301">
        <f t="shared" si="119"/>
        <v>0</v>
      </c>
      <c r="N211" s="293">
        <f t="shared" si="119"/>
        <v>0</v>
      </c>
      <c r="O211" s="165">
        <f>O212+O213</f>
        <v>0</v>
      </c>
      <c r="P211" s="260">
        <f>P212+P213</f>
        <v>0</v>
      </c>
      <c r="Q211" s="165">
        <f>R211+S211+T211+U211</f>
        <v>0</v>
      </c>
      <c r="R211" s="165"/>
      <c r="S211" s="165"/>
      <c r="T211" s="165"/>
      <c r="U211" s="165"/>
      <c r="V211" s="165"/>
      <c r="W211" s="165"/>
      <c r="X211" s="165">
        <f>P211+Q211</f>
        <v>0</v>
      </c>
      <c r="Y211" s="301"/>
      <c r="Z211" s="288"/>
      <c r="AA211" s="316"/>
      <c r="AB211" s="329"/>
      <c r="AC211" s="316"/>
    </row>
    <row r="212" spans="1:29" ht="25.5" hidden="1" customHeight="1" x14ac:dyDescent="0.2">
      <c r="A212" s="38" t="s">
        <v>176</v>
      </c>
      <c r="B212" s="39"/>
      <c r="C212" s="8"/>
      <c r="D212" s="25" t="s">
        <v>170</v>
      </c>
      <c r="E212" s="298"/>
      <c r="F212" s="297"/>
      <c r="G212" s="297" t="s">
        <v>172</v>
      </c>
      <c r="H212" s="165">
        <v>0</v>
      </c>
      <c r="I212" s="165">
        <f>SUM(J212:M212)</f>
        <v>0</v>
      </c>
      <c r="J212" s="165">
        <v>0</v>
      </c>
      <c r="K212" s="301">
        <v>0</v>
      </c>
      <c r="L212" s="301">
        <v>0</v>
      </c>
      <c r="M212" s="301">
        <v>0</v>
      </c>
      <c r="N212" s="293">
        <f>H212+I212</f>
        <v>0</v>
      </c>
      <c r="O212" s="165">
        <v>0</v>
      </c>
      <c r="P212" s="260">
        <v>0</v>
      </c>
      <c r="Q212" s="165">
        <f>R212+S212+T212+U212</f>
        <v>0</v>
      </c>
      <c r="R212" s="165"/>
      <c r="S212" s="165"/>
      <c r="T212" s="165"/>
      <c r="U212" s="165"/>
      <c r="V212" s="165"/>
      <c r="W212" s="165"/>
      <c r="X212" s="165">
        <f>P212+Q212</f>
        <v>0</v>
      </c>
      <c r="Y212" s="301"/>
      <c r="Z212" s="288"/>
      <c r="AA212" s="316"/>
      <c r="AB212" s="329"/>
      <c r="AC212" s="316"/>
    </row>
    <row r="213" spans="1:29" ht="44.25" hidden="1" customHeight="1" x14ac:dyDescent="0.2">
      <c r="A213" s="6" t="s">
        <v>131</v>
      </c>
      <c r="B213" s="7"/>
      <c r="C213" s="8"/>
      <c r="D213" s="25" t="s">
        <v>170</v>
      </c>
      <c r="E213" s="298"/>
      <c r="F213" s="297"/>
      <c r="G213" s="297"/>
      <c r="H213" s="165">
        <v>0</v>
      </c>
      <c r="I213" s="165">
        <f>SUM(J213:M213)</f>
        <v>0</v>
      </c>
      <c r="J213" s="165">
        <v>0</v>
      </c>
      <c r="K213" s="301">
        <v>0</v>
      </c>
      <c r="L213" s="301">
        <v>0</v>
      </c>
      <c r="M213" s="301">
        <v>0</v>
      </c>
      <c r="N213" s="293">
        <f>H213+I213</f>
        <v>0</v>
      </c>
      <c r="O213" s="165">
        <v>0</v>
      </c>
      <c r="P213" s="260">
        <v>0</v>
      </c>
      <c r="Q213" s="165">
        <f>R213+S213+T213+U213</f>
        <v>0</v>
      </c>
      <c r="R213" s="165"/>
      <c r="S213" s="165"/>
      <c r="T213" s="165"/>
      <c r="U213" s="165"/>
      <c r="V213" s="165"/>
      <c r="W213" s="165"/>
      <c r="X213" s="165">
        <f>P213+Q213</f>
        <v>0</v>
      </c>
      <c r="Y213" s="301"/>
      <c r="Z213" s="288"/>
      <c r="AA213" s="316"/>
      <c r="AB213" s="329"/>
      <c r="AC213" s="316"/>
    </row>
    <row r="214" spans="1:29" ht="12.75" hidden="1" customHeight="1" x14ac:dyDescent="0.2">
      <c r="A214" s="6" t="s">
        <v>57</v>
      </c>
      <c r="B214" s="98">
        <v>804</v>
      </c>
      <c r="C214" s="8" t="s">
        <v>169</v>
      </c>
      <c r="D214" s="30" t="s">
        <v>170</v>
      </c>
      <c r="E214" s="298" t="s">
        <v>46</v>
      </c>
      <c r="F214" s="297" t="s">
        <v>58</v>
      </c>
      <c r="G214" s="297"/>
      <c r="H214" s="165">
        <f t="shared" ref="H214:O214" si="120">H215</f>
        <v>0</v>
      </c>
      <c r="I214" s="165">
        <f t="shared" si="120"/>
        <v>0</v>
      </c>
      <c r="J214" s="165">
        <f t="shared" si="120"/>
        <v>0</v>
      </c>
      <c r="K214" s="301">
        <f t="shared" si="120"/>
        <v>0</v>
      </c>
      <c r="L214" s="301">
        <f t="shared" si="120"/>
        <v>0</v>
      </c>
      <c r="M214" s="301">
        <f t="shared" si="120"/>
        <v>0</v>
      </c>
      <c r="N214" s="293">
        <f t="shared" si="120"/>
        <v>0</v>
      </c>
      <c r="O214" s="165">
        <f t="shared" si="120"/>
        <v>0</v>
      </c>
      <c r="P214" s="260">
        <f>P215+P216</f>
        <v>0</v>
      </c>
      <c r="Q214" s="260">
        <f t="shared" ref="Q214:X214" si="121">Q215+Q216</f>
        <v>0</v>
      </c>
      <c r="R214" s="260">
        <f t="shared" si="121"/>
        <v>0</v>
      </c>
      <c r="S214" s="260">
        <f t="shared" si="121"/>
        <v>0</v>
      </c>
      <c r="T214" s="260">
        <f t="shared" si="121"/>
        <v>0</v>
      </c>
      <c r="U214" s="260">
        <f t="shared" si="121"/>
        <v>0</v>
      </c>
      <c r="V214" s="260">
        <f t="shared" si="121"/>
        <v>0</v>
      </c>
      <c r="W214" s="260"/>
      <c r="X214" s="260">
        <f t="shared" si="121"/>
        <v>0</v>
      </c>
      <c r="Y214" s="301"/>
      <c r="Z214" s="288"/>
      <c r="AA214" s="316"/>
      <c r="AB214" s="329"/>
      <c r="AC214" s="316"/>
    </row>
    <row r="215" spans="1:29" ht="38.25" hidden="1" customHeight="1" x14ac:dyDescent="0.2">
      <c r="A215" s="38" t="s">
        <v>177</v>
      </c>
      <c r="B215" s="39"/>
      <c r="C215" s="8"/>
      <c r="D215" s="8"/>
      <c r="E215" s="298"/>
      <c r="F215" s="297"/>
      <c r="G215" s="297" t="s">
        <v>540</v>
      </c>
      <c r="H215" s="165">
        <v>0</v>
      </c>
      <c r="I215" s="165">
        <f>SUM(J215:M215)</f>
        <v>0</v>
      </c>
      <c r="J215" s="165">
        <v>0</v>
      </c>
      <c r="K215" s="301">
        <v>0</v>
      </c>
      <c r="L215" s="301">
        <v>0</v>
      </c>
      <c r="M215" s="301">
        <v>0</v>
      </c>
      <c r="N215" s="293">
        <f>H215+I215</f>
        <v>0</v>
      </c>
      <c r="O215" s="165">
        <v>0</v>
      </c>
      <c r="P215" s="260">
        <v>0</v>
      </c>
      <c r="Q215" s="165">
        <f>R215+S215+T215+U215+V215</f>
        <v>0</v>
      </c>
      <c r="R215" s="165"/>
      <c r="S215" s="165"/>
      <c r="T215" s="165"/>
      <c r="U215" s="165"/>
      <c r="V215" s="165"/>
      <c r="W215" s="165"/>
      <c r="X215" s="165">
        <f t="shared" ref="X215:X224" si="122">P215+Q215</f>
        <v>0</v>
      </c>
      <c r="Y215" s="301"/>
      <c r="Z215" s="288"/>
      <c r="AA215" s="316"/>
      <c r="AB215" s="329"/>
      <c r="AC215" s="316"/>
    </row>
    <row r="216" spans="1:29" ht="19.5" hidden="1" customHeight="1" x14ac:dyDescent="0.2">
      <c r="A216" s="6" t="s">
        <v>57</v>
      </c>
      <c r="B216" s="7"/>
      <c r="C216" s="8"/>
      <c r="D216" s="8"/>
      <c r="E216" s="298"/>
      <c r="F216" s="297"/>
      <c r="G216" s="297" t="s">
        <v>504</v>
      </c>
      <c r="H216" s="165">
        <v>0</v>
      </c>
      <c r="I216" s="165">
        <f>SUM(J216:M216)</f>
        <v>0</v>
      </c>
      <c r="J216" s="165">
        <v>0</v>
      </c>
      <c r="K216" s="301">
        <v>0</v>
      </c>
      <c r="L216" s="301">
        <v>0</v>
      </c>
      <c r="M216" s="301">
        <v>0</v>
      </c>
      <c r="N216" s="293">
        <f>H216+I216</f>
        <v>0</v>
      </c>
      <c r="O216" s="165">
        <v>0</v>
      </c>
      <c r="P216" s="260">
        <v>0</v>
      </c>
      <c r="Q216" s="165">
        <f>R216+S216+T216+U216+V216</f>
        <v>0</v>
      </c>
      <c r="R216" s="165"/>
      <c r="S216" s="165"/>
      <c r="T216" s="165"/>
      <c r="U216" s="165"/>
      <c r="V216" s="165"/>
      <c r="W216" s="165"/>
      <c r="X216" s="165">
        <f t="shared" si="122"/>
        <v>0</v>
      </c>
      <c r="Y216" s="301"/>
      <c r="Z216" s="288"/>
      <c r="AA216" s="316"/>
      <c r="AB216" s="329"/>
      <c r="AC216" s="316"/>
    </row>
    <row r="217" spans="1:29" ht="12.75" hidden="1" customHeight="1" x14ac:dyDescent="0.2">
      <c r="A217" s="23" t="s">
        <v>70</v>
      </c>
      <c r="B217" s="79">
        <v>804</v>
      </c>
      <c r="C217" s="25" t="s">
        <v>169</v>
      </c>
      <c r="D217" s="25" t="s">
        <v>175</v>
      </c>
      <c r="E217" s="123" t="s">
        <v>46</v>
      </c>
      <c r="F217" s="89" t="s">
        <v>71</v>
      </c>
      <c r="G217" s="89"/>
      <c r="H217" s="124">
        <f t="shared" ref="H217:N217" si="123">H218+H220</f>
        <v>0</v>
      </c>
      <c r="I217" s="124">
        <f t="shared" si="123"/>
        <v>0</v>
      </c>
      <c r="J217" s="124">
        <f t="shared" si="123"/>
        <v>0</v>
      </c>
      <c r="K217" s="359">
        <f t="shared" si="123"/>
        <v>0</v>
      </c>
      <c r="L217" s="359">
        <f t="shared" si="123"/>
        <v>0</v>
      </c>
      <c r="M217" s="359">
        <f t="shared" si="123"/>
        <v>0</v>
      </c>
      <c r="N217" s="360">
        <f t="shared" si="123"/>
        <v>0</v>
      </c>
      <c r="O217" s="124">
        <f>O218+O220</f>
        <v>0</v>
      </c>
      <c r="P217" s="258">
        <f>P218+P220</f>
        <v>0</v>
      </c>
      <c r="Q217" s="165">
        <f t="shared" ref="Q217:Q221" si="124">R217+S217+T217+U217</f>
        <v>0</v>
      </c>
      <c r="R217" s="124"/>
      <c r="S217" s="124"/>
      <c r="T217" s="124"/>
      <c r="U217" s="124"/>
      <c r="V217" s="124"/>
      <c r="W217" s="124"/>
      <c r="X217" s="165">
        <f t="shared" si="122"/>
        <v>0</v>
      </c>
      <c r="Y217" s="301"/>
      <c r="Z217" s="288"/>
      <c r="AA217" s="316"/>
      <c r="AB217" s="386"/>
      <c r="AC217" s="316"/>
    </row>
    <row r="218" spans="1:29" ht="12.75" hidden="1" customHeight="1" x14ac:dyDescent="0.2">
      <c r="A218" s="6" t="s">
        <v>72</v>
      </c>
      <c r="B218" s="98">
        <v>804</v>
      </c>
      <c r="C218" s="8" t="s">
        <v>169</v>
      </c>
      <c r="D218" s="30" t="s">
        <v>175</v>
      </c>
      <c r="E218" s="298" t="s">
        <v>46</v>
      </c>
      <c r="F218" s="297" t="s">
        <v>73</v>
      </c>
      <c r="G218" s="297"/>
      <c r="H218" s="165">
        <f t="shared" ref="H218:P218" si="125">H219</f>
        <v>0</v>
      </c>
      <c r="I218" s="165">
        <f t="shared" si="125"/>
        <v>0</v>
      </c>
      <c r="J218" s="165">
        <f t="shared" si="125"/>
        <v>0</v>
      </c>
      <c r="K218" s="301">
        <f t="shared" si="125"/>
        <v>0</v>
      </c>
      <c r="L218" s="301">
        <f t="shared" si="125"/>
        <v>0</v>
      </c>
      <c r="M218" s="301">
        <f t="shared" si="125"/>
        <v>0</v>
      </c>
      <c r="N218" s="293">
        <f t="shared" si="125"/>
        <v>0</v>
      </c>
      <c r="O218" s="165">
        <f t="shared" si="125"/>
        <v>0</v>
      </c>
      <c r="P218" s="260">
        <f t="shared" si="125"/>
        <v>0</v>
      </c>
      <c r="Q218" s="165">
        <f t="shared" si="124"/>
        <v>0</v>
      </c>
      <c r="R218" s="165"/>
      <c r="S218" s="165"/>
      <c r="T218" s="165"/>
      <c r="U218" s="165"/>
      <c r="V218" s="165"/>
      <c r="W218" s="165"/>
      <c r="X218" s="165">
        <f t="shared" si="122"/>
        <v>0</v>
      </c>
      <c r="Y218" s="301"/>
      <c r="Z218" s="288"/>
      <c r="AA218" s="316"/>
      <c r="AB218" s="329"/>
      <c r="AC218" s="316"/>
    </row>
    <row r="219" spans="1:29" ht="38.25" hidden="1" customHeight="1" x14ac:dyDescent="0.2">
      <c r="A219" s="40" t="s">
        <v>178</v>
      </c>
      <c r="B219" s="41"/>
      <c r="C219" s="8"/>
      <c r="D219" s="8"/>
      <c r="E219" s="298"/>
      <c r="F219" s="297"/>
      <c r="G219" s="297" t="s">
        <v>172</v>
      </c>
      <c r="H219" s="299">
        <v>0</v>
      </c>
      <c r="I219" s="165">
        <f>SUM(J219:M219)</f>
        <v>0</v>
      </c>
      <c r="J219" s="299">
        <v>0</v>
      </c>
      <c r="K219" s="300">
        <v>0</v>
      </c>
      <c r="L219" s="300">
        <v>0</v>
      </c>
      <c r="M219" s="300">
        <v>0</v>
      </c>
      <c r="N219" s="293">
        <f>H219+I219</f>
        <v>0</v>
      </c>
      <c r="O219" s="299">
        <v>0</v>
      </c>
      <c r="P219" s="335">
        <v>0</v>
      </c>
      <c r="Q219" s="165">
        <f t="shared" si="124"/>
        <v>0</v>
      </c>
      <c r="R219" s="299"/>
      <c r="S219" s="299"/>
      <c r="T219" s="299"/>
      <c r="U219" s="299"/>
      <c r="V219" s="299"/>
      <c r="W219" s="299"/>
      <c r="X219" s="165">
        <f t="shared" si="122"/>
        <v>0</v>
      </c>
      <c r="Y219" s="301"/>
      <c r="Z219" s="288"/>
      <c r="AA219" s="316"/>
      <c r="AB219" s="391"/>
      <c r="AC219" s="316"/>
    </row>
    <row r="220" spans="1:29" ht="25.5" hidden="1" customHeight="1" x14ac:dyDescent="0.2">
      <c r="A220" s="6" t="s">
        <v>76</v>
      </c>
      <c r="B220" s="98">
        <v>804</v>
      </c>
      <c r="C220" s="8" t="s">
        <v>169</v>
      </c>
      <c r="D220" s="30" t="s">
        <v>175</v>
      </c>
      <c r="E220" s="298" t="s">
        <v>46</v>
      </c>
      <c r="F220" s="297" t="s">
        <v>77</v>
      </c>
      <c r="G220" s="297"/>
      <c r="H220" s="165">
        <f t="shared" ref="H220:P220" si="126">H221</f>
        <v>0</v>
      </c>
      <c r="I220" s="165">
        <f t="shared" si="126"/>
        <v>0</v>
      </c>
      <c r="J220" s="165">
        <f t="shared" si="126"/>
        <v>0</v>
      </c>
      <c r="K220" s="301">
        <f t="shared" si="126"/>
        <v>0</v>
      </c>
      <c r="L220" s="301">
        <f t="shared" si="126"/>
        <v>0</v>
      </c>
      <c r="M220" s="301">
        <f t="shared" si="126"/>
        <v>0</v>
      </c>
      <c r="N220" s="293">
        <f t="shared" si="126"/>
        <v>0</v>
      </c>
      <c r="O220" s="165">
        <f t="shared" si="126"/>
        <v>0</v>
      </c>
      <c r="P220" s="260">
        <f t="shared" si="126"/>
        <v>0</v>
      </c>
      <c r="Q220" s="165">
        <f t="shared" si="124"/>
        <v>0</v>
      </c>
      <c r="R220" s="165"/>
      <c r="S220" s="165"/>
      <c r="T220" s="165"/>
      <c r="U220" s="165"/>
      <c r="V220" s="165"/>
      <c r="W220" s="165"/>
      <c r="X220" s="165">
        <f t="shared" si="122"/>
        <v>0</v>
      </c>
      <c r="Y220" s="301"/>
      <c r="Z220" s="288"/>
      <c r="AA220" s="316"/>
      <c r="AB220" s="329"/>
      <c r="AC220" s="316"/>
    </row>
    <row r="221" spans="1:29" ht="27.75" hidden="1" customHeight="1" x14ac:dyDescent="0.2">
      <c r="A221" s="40" t="s">
        <v>179</v>
      </c>
      <c r="B221" s="41"/>
      <c r="C221" s="8"/>
      <c r="D221" s="8"/>
      <c r="E221" s="298"/>
      <c r="F221" s="297"/>
      <c r="G221" s="297" t="s">
        <v>172</v>
      </c>
      <c r="H221" s="165">
        <v>0</v>
      </c>
      <c r="I221" s="165">
        <f>SUM(J221:M221)</f>
        <v>0</v>
      </c>
      <c r="J221" s="165"/>
      <c r="K221" s="301"/>
      <c r="L221" s="301">
        <v>0</v>
      </c>
      <c r="M221" s="301"/>
      <c r="N221" s="293">
        <f>H221+I221</f>
        <v>0</v>
      </c>
      <c r="O221" s="165">
        <v>0</v>
      </c>
      <c r="P221" s="260">
        <v>0</v>
      </c>
      <c r="Q221" s="165">
        <f t="shared" si="124"/>
        <v>0</v>
      </c>
      <c r="R221" s="165"/>
      <c r="S221" s="165"/>
      <c r="T221" s="165"/>
      <c r="U221" s="165"/>
      <c r="V221" s="165"/>
      <c r="W221" s="165"/>
      <c r="X221" s="165">
        <f t="shared" si="122"/>
        <v>0</v>
      </c>
      <c r="Y221" s="301"/>
      <c r="Z221" s="288"/>
      <c r="AA221" s="316"/>
      <c r="AB221" s="329"/>
      <c r="AC221" s="316"/>
    </row>
    <row r="222" spans="1:29" ht="51" hidden="1" customHeight="1" x14ac:dyDescent="0.2">
      <c r="A222" s="40" t="s">
        <v>124</v>
      </c>
      <c r="B222" s="41"/>
      <c r="C222" s="8"/>
      <c r="D222" s="8"/>
      <c r="E222" s="298" t="s">
        <v>46</v>
      </c>
      <c r="F222" s="297" t="s">
        <v>73</v>
      </c>
      <c r="G222" s="297" t="s">
        <v>485</v>
      </c>
      <c r="H222" s="165"/>
      <c r="I222" s="165"/>
      <c r="J222" s="165"/>
      <c r="K222" s="301"/>
      <c r="L222" s="301"/>
      <c r="M222" s="301"/>
      <c r="N222" s="365"/>
      <c r="O222" s="165"/>
      <c r="P222" s="260">
        <v>0</v>
      </c>
      <c r="Q222" s="165">
        <f>R222+S222+T222+U222+V222</f>
        <v>0</v>
      </c>
      <c r="R222" s="165"/>
      <c r="S222" s="165"/>
      <c r="T222" s="165"/>
      <c r="U222" s="165"/>
      <c r="V222" s="165"/>
      <c r="W222" s="165"/>
      <c r="X222" s="165">
        <f t="shared" si="122"/>
        <v>0</v>
      </c>
      <c r="Y222" s="301"/>
      <c r="Z222" s="288"/>
      <c r="AA222" s="316"/>
      <c r="AB222" s="329"/>
      <c r="AC222" s="316"/>
    </row>
    <row r="223" spans="1:29" ht="27.75" hidden="1" customHeight="1" x14ac:dyDescent="0.2">
      <c r="A223" s="6" t="s">
        <v>76</v>
      </c>
      <c r="B223" s="41">
        <v>804</v>
      </c>
      <c r="C223" s="8" t="s">
        <v>169</v>
      </c>
      <c r="D223" s="8" t="s">
        <v>170</v>
      </c>
      <c r="E223" s="298" t="s">
        <v>44</v>
      </c>
      <c r="F223" s="297" t="s">
        <v>77</v>
      </c>
      <c r="G223" s="297" t="s">
        <v>486</v>
      </c>
      <c r="H223" s="165"/>
      <c r="I223" s="165"/>
      <c r="J223" s="165"/>
      <c r="K223" s="301"/>
      <c r="L223" s="301"/>
      <c r="M223" s="301"/>
      <c r="N223" s="365"/>
      <c r="O223" s="165"/>
      <c r="P223" s="260">
        <v>0</v>
      </c>
      <c r="Q223" s="165">
        <f>R223+S223+T223+U223+V223</f>
        <v>0</v>
      </c>
      <c r="R223" s="165">
        <v>0</v>
      </c>
      <c r="S223" s="163"/>
      <c r="T223" s="163"/>
      <c r="U223" s="163"/>
      <c r="V223" s="163"/>
      <c r="W223" s="163"/>
      <c r="X223" s="165">
        <f t="shared" si="122"/>
        <v>0</v>
      </c>
      <c r="Y223" s="301"/>
      <c r="Z223" s="288"/>
      <c r="AA223" s="316"/>
      <c r="AB223" s="329"/>
      <c r="AC223" s="316"/>
    </row>
    <row r="224" spans="1:29" ht="27.75" customHeight="1" x14ac:dyDescent="0.2">
      <c r="A224" s="6" t="s">
        <v>76</v>
      </c>
      <c r="B224" s="41"/>
      <c r="C224" s="8"/>
      <c r="D224" s="8"/>
      <c r="E224" s="298" t="s">
        <v>46</v>
      </c>
      <c r="F224" s="297" t="s">
        <v>554</v>
      </c>
      <c r="G224" s="297" t="s">
        <v>632</v>
      </c>
      <c r="H224" s="165"/>
      <c r="I224" s="165"/>
      <c r="J224" s="165"/>
      <c r="K224" s="301"/>
      <c r="L224" s="301"/>
      <c r="M224" s="301"/>
      <c r="N224" s="365"/>
      <c r="O224" s="165"/>
      <c r="P224" s="260">
        <v>151749.35999999999</v>
      </c>
      <c r="Q224" s="165">
        <f>R224+S224+T224+U224+V224</f>
        <v>-19398.72</v>
      </c>
      <c r="R224" s="165">
        <v>-19398.72</v>
      </c>
      <c r="S224" s="163"/>
      <c r="T224" s="163"/>
      <c r="U224" s="163"/>
      <c r="V224" s="163"/>
      <c r="W224" s="163"/>
      <c r="X224" s="165">
        <f t="shared" si="122"/>
        <v>132350.63999999998</v>
      </c>
      <c r="Y224" s="301"/>
      <c r="Z224" s="288"/>
      <c r="AA224" s="316"/>
      <c r="AB224" s="329"/>
      <c r="AC224" s="316"/>
    </row>
    <row r="225" spans="1:29" ht="30.75" customHeight="1" x14ac:dyDescent="0.2">
      <c r="A225" s="110" t="s">
        <v>180</v>
      </c>
      <c r="B225" s="111">
        <v>804</v>
      </c>
      <c r="C225" s="112" t="s">
        <v>181</v>
      </c>
      <c r="D225" s="112" t="s">
        <v>18</v>
      </c>
      <c r="E225" s="113" t="s">
        <v>19</v>
      </c>
      <c r="F225" s="112" t="s">
        <v>19</v>
      </c>
      <c r="G225" s="13"/>
      <c r="H225" s="15">
        <f>H226+H228</f>
        <v>211500</v>
      </c>
      <c r="I225" s="15" t="e">
        <f>#REF!+I228</f>
        <v>#REF!</v>
      </c>
      <c r="J225" s="15" t="e">
        <f>#REF!+J228</f>
        <v>#REF!</v>
      </c>
      <c r="K225" s="15" t="e">
        <f>#REF!+K228</f>
        <v>#REF!</v>
      </c>
      <c r="L225" s="15" t="e">
        <f>#REF!+L228</f>
        <v>#REF!</v>
      </c>
      <c r="M225" s="15" t="e">
        <f>#REF!+M228</f>
        <v>#REF!</v>
      </c>
      <c r="N225" s="15" t="e">
        <f>#REF!+N228</f>
        <v>#REF!</v>
      </c>
      <c r="O225" s="15">
        <f t="shared" ref="O225:X225" si="127">O226+O228</f>
        <v>165564.91</v>
      </c>
      <c r="P225" s="256">
        <f t="shared" si="127"/>
        <v>67826</v>
      </c>
      <c r="Q225" s="256">
        <f t="shared" si="127"/>
        <v>0</v>
      </c>
      <c r="R225" s="256">
        <f t="shared" si="127"/>
        <v>0</v>
      </c>
      <c r="S225" s="256">
        <f t="shared" si="127"/>
        <v>0</v>
      </c>
      <c r="T225" s="256">
        <f t="shared" si="127"/>
        <v>0</v>
      </c>
      <c r="U225" s="256">
        <f t="shared" si="127"/>
        <v>0</v>
      </c>
      <c r="V225" s="256">
        <f t="shared" si="127"/>
        <v>0</v>
      </c>
      <c r="W225" s="256">
        <f>W226</f>
        <v>0</v>
      </c>
      <c r="X225" s="256">
        <f t="shared" si="127"/>
        <v>67826</v>
      </c>
      <c r="Y225" s="379"/>
      <c r="Z225" s="288"/>
      <c r="AA225" s="316"/>
      <c r="AB225" s="385"/>
      <c r="AC225" s="316"/>
    </row>
    <row r="226" spans="1:29" ht="30.75" customHeight="1" x14ac:dyDescent="0.2">
      <c r="A226" s="114" t="s">
        <v>182</v>
      </c>
      <c r="B226" s="115">
        <v>804</v>
      </c>
      <c r="C226" s="70" t="s">
        <v>183</v>
      </c>
      <c r="D226" s="70" t="s">
        <v>184</v>
      </c>
      <c r="E226" s="71" t="s">
        <v>46</v>
      </c>
      <c r="F226" s="70" t="s">
        <v>42</v>
      </c>
      <c r="G226" s="18"/>
      <c r="H226" s="20">
        <f>H227</f>
        <v>61500</v>
      </c>
      <c r="I226" s="116"/>
      <c r="J226" s="116"/>
      <c r="K226" s="116"/>
      <c r="L226" s="116"/>
      <c r="M226" s="116"/>
      <c r="N226" s="116"/>
      <c r="O226" s="20">
        <f>O227</f>
        <v>45564.91</v>
      </c>
      <c r="P226" s="257">
        <f>P227</f>
        <v>18826</v>
      </c>
      <c r="Q226" s="257">
        <f t="shared" ref="Q226:X226" si="128">Q227</f>
        <v>0</v>
      </c>
      <c r="R226" s="257">
        <f t="shared" si="128"/>
        <v>0</v>
      </c>
      <c r="S226" s="257">
        <f t="shared" si="128"/>
        <v>0</v>
      </c>
      <c r="T226" s="257">
        <f t="shared" si="128"/>
        <v>0</v>
      </c>
      <c r="U226" s="257">
        <f t="shared" si="128"/>
        <v>0</v>
      </c>
      <c r="V226" s="257">
        <f>V227</f>
        <v>0</v>
      </c>
      <c r="W226" s="257">
        <f>W227</f>
        <v>0</v>
      </c>
      <c r="X226" s="257">
        <f t="shared" si="128"/>
        <v>18826</v>
      </c>
      <c r="Y226" s="382"/>
      <c r="Z226" s="288"/>
      <c r="AA226" s="316"/>
      <c r="AB226" s="385"/>
      <c r="AC226" s="316"/>
    </row>
    <row r="227" spans="1:29" ht="30.75" customHeight="1" x14ac:dyDescent="0.2">
      <c r="A227" s="117" t="s">
        <v>185</v>
      </c>
      <c r="B227" s="118"/>
      <c r="C227" s="119"/>
      <c r="D227" s="119"/>
      <c r="E227" s="120"/>
      <c r="F227" s="119" t="s">
        <v>58</v>
      </c>
      <c r="G227" s="119" t="s">
        <v>487</v>
      </c>
      <c r="H227" s="63">
        <v>61500</v>
      </c>
      <c r="I227" s="116"/>
      <c r="J227" s="116"/>
      <c r="K227" s="116"/>
      <c r="L227" s="116"/>
      <c r="M227" s="116"/>
      <c r="N227" s="116"/>
      <c r="O227" s="63">
        <v>45564.91</v>
      </c>
      <c r="P227" s="262">
        <v>18826</v>
      </c>
      <c r="Q227" s="163">
        <f>R227+S227+T227+U227+V227+W227</f>
        <v>0</v>
      </c>
      <c r="R227" s="163">
        <v>0</v>
      </c>
      <c r="S227" s="163">
        <v>0</v>
      </c>
      <c r="T227" s="163"/>
      <c r="U227" s="163"/>
      <c r="V227" s="163"/>
      <c r="W227" s="163">
        <v>0</v>
      </c>
      <c r="X227" s="165">
        <f>P227+Q227</f>
        <v>18826</v>
      </c>
      <c r="Y227" s="301"/>
      <c r="Z227" s="288"/>
      <c r="AA227" s="316"/>
      <c r="AB227" s="332"/>
      <c r="AC227" s="316"/>
    </row>
    <row r="228" spans="1:29" ht="70.5" customHeight="1" x14ac:dyDescent="0.2">
      <c r="A228" s="114" t="s">
        <v>186</v>
      </c>
      <c r="B228" s="115"/>
      <c r="C228" s="18" t="s">
        <v>187</v>
      </c>
      <c r="D228" s="83" t="s">
        <v>561</v>
      </c>
      <c r="E228" s="19" t="s">
        <v>19</v>
      </c>
      <c r="F228" s="18" t="s">
        <v>19</v>
      </c>
      <c r="G228" s="18"/>
      <c r="H228" s="20">
        <f>H229+H237</f>
        <v>150000</v>
      </c>
      <c r="I228" s="20">
        <f t="shared" ref="I228:N228" si="129">I230+I237</f>
        <v>0</v>
      </c>
      <c r="J228" s="20">
        <f t="shared" si="129"/>
        <v>0</v>
      </c>
      <c r="K228" s="20">
        <f t="shared" si="129"/>
        <v>0</v>
      </c>
      <c r="L228" s="20">
        <f t="shared" si="129"/>
        <v>0</v>
      </c>
      <c r="M228" s="20">
        <f t="shared" si="129"/>
        <v>0</v>
      </c>
      <c r="N228" s="20">
        <f t="shared" si="129"/>
        <v>150000</v>
      </c>
      <c r="O228" s="20">
        <f>O229+O237</f>
        <v>120000</v>
      </c>
      <c r="P228" s="257">
        <f>P230+P235+P233+P237</f>
        <v>49000</v>
      </c>
      <c r="Q228" s="257">
        <f>Q230+Q235+Q233+Q237</f>
        <v>0</v>
      </c>
      <c r="R228" s="257">
        <f>R230+R235+R233+R237</f>
        <v>0</v>
      </c>
      <c r="S228" s="257">
        <f t="shared" ref="S228:V228" si="130">S230+S235+S233+S237</f>
        <v>0</v>
      </c>
      <c r="T228" s="257">
        <f t="shared" si="130"/>
        <v>0</v>
      </c>
      <c r="U228" s="257">
        <f t="shared" si="130"/>
        <v>0</v>
      </c>
      <c r="V228" s="257">
        <f t="shared" si="130"/>
        <v>0</v>
      </c>
      <c r="W228" s="257"/>
      <c r="X228" s="257">
        <f>X230+X235+X233+X237</f>
        <v>49000</v>
      </c>
      <c r="Y228" s="382"/>
      <c r="Z228" s="288"/>
      <c r="AA228" s="288"/>
      <c r="AB228" s="385"/>
      <c r="AC228" s="316"/>
    </row>
    <row r="229" spans="1:29" ht="22.5" hidden="1" customHeight="1" x14ac:dyDescent="0.2">
      <c r="A229" s="121" t="s">
        <v>41</v>
      </c>
      <c r="B229" s="122"/>
      <c r="C229" s="57" t="s">
        <v>187</v>
      </c>
      <c r="D229" s="56" t="s">
        <v>561</v>
      </c>
      <c r="E229" s="123" t="s">
        <v>46</v>
      </c>
      <c r="F229" s="89" t="s">
        <v>58</v>
      </c>
      <c r="G229" s="89" t="s">
        <v>64</v>
      </c>
      <c r="H229" s="124">
        <f>H230</f>
        <v>130000</v>
      </c>
      <c r="I229" s="20"/>
      <c r="J229" s="20"/>
      <c r="K229" s="20"/>
      <c r="L229" s="20"/>
      <c r="M229" s="20"/>
      <c r="N229" s="125"/>
      <c r="O229" s="124">
        <f>O230</f>
        <v>104000</v>
      </c>
      <c r="P229" s="258">
        <f t="shared" ref="P229:V229" si="131">P230</f>
        <v>0</v>
      </c>
      <c r="Q229" s="258">
        <f t="shared" si="131"/>
        <v>0</v>
      </c>
      <c r="R229" s="258">
        <f t="shared" si="131"/>
        <v>0</v>
      </c>
      <c r="S229" s="258">
        <f t="shared" si="131"/>
        <v>0</v>
      </c>
      <c r="T229" s="258">
        <f t="shared" si="131"/>
        <v>0</v>
      </c>
      <c r="U229" s="258">
        <f t="shared" si="131"/>
        <v>0</v>
      </c>
      <c r="V229" s="258">
        <f t="shared" si="131"/>
        <v>0</v>
      </c>
      <c r="W229" s="258"/>
      <c r="X229" s="258">
        <f t="shared" ref="X229" si="132">X230</f>
        <v>0</v>
      </c>
      <c r="Y229" s="301"/>
      <c r="Z229" s="288"/>
      <c r="AA229" s="316"/>
      <c r="AB229" s="385"/>
      <c r="AC229" s="316"/>
    </row>
    <row r="230" spans="1:29" ht="30" hidden="1" customHeight="1" x14ac:dyDescent="0.2">
      <c r="A230" s="38" t="s">
        <v>189</v>
      </c>
      <c r="B230" s="126"/>
      <c r="C230" s="127"/>
      <c r="D230" s="127"/>
      <c r="E230" s="128"/>
      <c r="F230" s="127"/>
      <c r="G230" s="127" t="s">
        <v>64</v>
      </c>
      <c r="H230" s="31">
        <v>130000</v>
      </c>
      <c r="I230" s="31">
        <f>SUM(J230:M230)</f>
        <v>0</v>
      </c>
      <c r="J230" s="31">
        <v>0</v>
      </c>
      <c r="K230" s="32"/>
      <c r="L230" s="32"/>
      <c r="M230" s="32"/>
      <c r="N230" s="33">
        <f>H230+I230</f>
        <v>130000</v>
      </c>
      <c r="O230" s="31">
        <f>130000*80%</f>
        <v>104000</v>
      </c>
      <c r="P230" s="260">
        <v>0</v>
      </c>
      <c r="Q230" s="163">
        <f>R230+S230+T230+U230+V230</f>
        <v>0</v>
      </c>
      <c r="R230" s="165"/>
      <c r="S230" s="165"/>
      <c r="T230" s="165"/>
      <c r="U230" s="165">
        <v>0</v>
      </c>
      <c r="V230" s="165"/>
      <c r="W230" s="165"/>
      <c r="X230" s="165">
        <f t="shared" ref="X230:X241" si="133">P230+Q230</f>
        <v>0</v>
      </c>
      <c r="Y230" s="301"/>
      <c r="Z230" s="288"/>
      <c r="AA230" s="316"/>
      <c r="AB230" s="329"/>
      <c r="AC230" s="316"/>
    </row>
    <row r="231" spans="1:29" ht="42" hidden="1" customHeight="1" x14ac:dyDescent="0.2">
      <c r="A231" s="129" t="s">
        <v>190</v>
      </c>
      <c r="B231" s="7"/>
      <c r="C231" s="43" t="s">
        <v>191</v>
      </c>
      <c r="D231" s="43" t="s">
        <v>192</v>
      </c>
      <c r="E231" s="44" t="s">
        <v>46</v>
      </c>
      <c r="F231" s="43" t="s">
        <v>58</v>
      </c>
      <c r="G231" s="43"/>
      <c r="H231" s="45">
        <f t="shared" ref="H231:P231" si="134">H232</f>
        <v>0</v>
      </c>
      <c r="I231" s="45">
        <f t="shared" si="134"/>
        <v>0</v>
      </c>
      <c r="J231" s="45">
        <f t="shared" si="134"/>
        <v>0</v>
      </c>
      <c r="K231" s="46">
        <f t="shared" si="134"/>
        <v>0</v>
      </c>
      <c r="L231" s="46">
        <f t="shared" si="134"/>
        <v>0</v>
      </c>
      <c r="M231" s="46">
        <f t="shared" si="134"/>
        <v>0</v>
      </c>
      <c r="N231" s="47">
        <f t="shared" si="134"/>
        <v>0</v>
      </c>
      <c r="O231" s="45">
        <f t="shared" si="134"/>
        <v>0</v>
      </c>
      <c r="P231" s="353">
        <f t="shared" si="134"/>
        <v>0</v>
      </c>
      <c r="Q231" s="315">
        <f t="shared" ref="Q231:Q237" si="135">R231+S231+T231+U231</f>
        <v>0</v>
      </c>
      <c r="R231" s="315"/>
      <c r="S231" s="315"/>
      <c r="T231" s="315"/>
      <c r="U231" s="124"/>
      <c r="V231" s="124"/>
      <c r="W231" s="124"/>
      <c r="X231" s="165">
        <f t="shared" si="133"/>
        <v>0</v>
      </c>
      <c r="Y231" s="301"/>
      <c r="Z231" s="288"/>
      <c r="AA231" s="316"/>
      <c r="AB231" s="387"/>
      <c r="AC231" s="316"/>
    </row>
    <row r="232" spans="1:29" ht="0.75" customHeight="1" x14ac:dyDescent="0.2">
      <c r="A232" s="130" t="s">
        <v>147</v>
      </c>
      <c r="B232" s="7"/>
      <c r="C232" s="8" t="s">
        <v>191</v>
      </c>
      <c r="D232" s="8" t="s">
        <v>193</v>
      </c>
      <c r="E232" s="9" t="s">
        <v>46</v>
      </c>
      <c r="F232" s="8" t="s">
        <v>58</v>
      </c>
      <c r="G232" s="8" t="s">
        <v>64</v>
      </c>
      <c r="H232" s="31">
        <v>0</v>
      </c>
      <c r="I232" s="31">
        <v>0</v>
      </c>
      <c r="J232" s="31">
        <v>0</v>
      </c>
      <c r="K232" s="32">
        <v>0</v>
      </c>
      <c r="L232" s="32">
        <v>0</v>
      </c>
      <c r="M232" s="32">
        <v>0</v>
      </c>
      <c r="N232" s="33">
        <v>0</v>
      </c>
      <c r="O232" s="31">
        <v>0</v>
      </c>
      <c r="P232" s="260">
        <v>0</v>
      </c>
      <c r="Q232" s="315">
        <f t="shared" si="135"/>
        <v>0</v>
      </c>
      <c r="R232" s="165"/>
      <c r="S232" s="165"/>
      <c r="T232" s="165"/>
      <c r="U232" s="165"/>
      <c r="V232" s="165"/>
      <c r="W232" s="165"/>
      <c r="X232" s="165">
        <f t="shared" si="133"/>
        <v>0</v>
      </c>
      <c r="Y232" s="301"/>
      <c r="Z232" s="288"/>
      <c r="AA232" s="316"/>
      <c r="AB232" s="329"/>
      <c r="AC232" s="316"/>
    </row>
    <row r="233" spans="1:29" ht="16.5" customHeight="1" x14ac:dyDescent="0.2">
      <c r="A233" s="314" t="s">
        <v>98</v>
      </c>
      <c r="B233" s="7"/>
      <c r="C233" s="43" t="s">
        <v>187</v>
      </c>
      <c r="D233" s="56" t="s">
        <v>561</v>
      </c>
      <c r="E233" s="44" t="s">
        <v>46</v>
      </c>
      <c r="F233" s="43" t="s">
        <v>51</v>
      </c>
      <c r="G233" s="43" t="s">
        <v>99</v>
      </c>
      <c r="H233" s="31"/>
      <c r="I233" s="31"/>
      <c r="J233" s="31"/>
      <c r="K233" s="32"/>
      <c r="L233" s="32"/>
      <c r="M233" s="32"/>
      <c r="N233" s="33"/>
      <c r="O233" s="31"/>
      <c r="P233" s="353">
        <v>24000</v>
      </c>
      <c r="Q233" s="315">
        <f t="shared" si="135"/>
        <v>0</v>
      </c>
      <c r="R233" s="353"/>
      <c r="S233" s="353">
        <f t="shared" ref="S233:V233" si="136">S234</f>
        <v>0</v>
      </c>
      <c r="T233" s="353">
        <f t="shared" si="136"/>
        <v>0</v>
      </c>
      <c r="U233" s="353">
        <f t="shared" si="136"/>
        <v>0</v>
      </c>
      <c r="V233" s="353">
        <f t="shared" si="136"/>
        <v>0</v>
      </c>
      <c r="W233" s="353"/>
      <c r="X233" s="315">
        <f t="shared" si="133"/>
        <v>24000</v>
      </c>
      <c r="Y233" s="301"/>
      <c r="Z233" s="288"/>
      <c r="AA233" s="316"/>
      <c r="AB233" s="395"/>
      <c r="AC233" s="316"/>
    </row>
    <row r="234" spans="1:29" ht="16.5" hidden="1" customHeight="1" x14ac:dyDescent="0.2">
      <c r="A234" s="314" t="s">
        <v>98</v>
      </c>
      <c r="B234" s="7"/>
      <c r="C234" s="8"/>
      <c r="D234" s="8"/>
      <c r="E234" s="9"/>
      <c r="F234" s="8"/>
      <c r="G234" s="8" t="s">
        <v>99</v>
      </c>
      <c r="H234" s="31"/>
      <c r="I234" s="31"/>
      <c r="J234" s="31"/>
      <c r="K234" s="32"/>
      <c r="L234" s="32"/>
      <c r="M234" s="32"/>
      <c r="N234" s="33"/>
      <c r="O234" s="31"/>
      <c r="P234" s="260">
        <v>0</v>
      </c>
      <c r="Q234" s="315">
        <f t="shared" si="135"/>
        <v>6400</v>
      </c>
      <c r="R234" s="165">
        <v>6400</v>
      </c>
      <c r="S234" s="165"/>
      <c r="T234" s="165"/>
      <c r="U234" s="165"/>
      <c r="V234" s="165"/>
      <c r="W234" s="165"/>
      <c r="X234" s="165">
        <f t="shared" si="133"/>
        <v>6400</v>
      </c>
      <c r="Y234" s="301"/>
      <c r="Z234" s="288"/>
      <c r="AA234" s="316"/>
      <c r="AB234" s="329"/>
      <c r="AC234" s="316"/>
    </row>
    <row r="235" spans="1:29" ht="16.5" hidden="1" customHeight="1" x14ac:dyDescent="0.2">
      <c r="A235" s="314" t="s">
        <v>478</v>
      </c>
      <c r="B235" s="7"/>
      <c r="C235" s="43" t="s">
        <v>187</v>
      </c>
      <c r="D235" s="56" t="s">
        <v>188</v>
      </c>
      <c r="E235" s="44"/>
      <c r="F235" s="43" t="s">
        <v>73</v>
      </c>
      <c r="G235" s="43" t="s">
        <v>75</v>
      </c>
      <c r="H235" s="31"/>
      <c r="I235" s="31"/>
      <c r="J235" s="31"/>
      <c r="K235" s="32"/>
      <c r="L235" s="32"/>
      <c r="M235" s="32"/>
      <c r="N235" s="33"/>
      <c r="O235" s="31"/>
      <c r="P235" s="353">
        <v>0</v>
      </c>
      <c r="Q235" s="315">
        <f>R235+S235+T235+U235+V235</f>
        <v>0</v>
      </c>
      <c r="R235" s="315"/>
      <c r="S235" s="315"/>
      <c r="T235" s="315"/>
      <c r="U235" s="315"/>
      <c r="V235" s="315"/>
      <c r="W235" s="315"/>
      <c r="X235" s="315">
        <f t="shared" si="133"/>
        <v>0</v>
      </c>
      <c r="Y235" s="301"/>
      <c r="Z235" s="288"/>
      <c r="AA235" s="316"/>
      <c r="AB235" s="387"/>
      <c r="AC235" s="316"/>
    </row>
    <row r="236" spans="1:29" ht="16.5" hidden="1" customHeight="1" x14ac:dyDescent="0.2">
      <c r="A236" s="130"/>
      <c r="B236" s="7"/>
      <c r="C236" s="8"/>
      <c r="D236" s="8"/>
      <c r="E236" s="9"/>
      <c r="F236" s="8"/>
      <c r="G236" s="8" t="s">
        <v>75</v>
      </c>
      <c r="H236" s="31"/>
      <c r="I236" s="31"/>
      <c r="J236" s="31"/>
      <c r="K236" s="32"/>
      <c r="L236" s="32"/>
      <c r="M236" s="32"/>
      <c r="N236" s="33"/>
      <c r="O236" s="31"/>
      <c r="P236" s="260">
        <v>0</v>
      </c>
      <c r="Q236" s="165">
        <f t="shared" si="135"/>
        <v>17600</v>
      </c>
      <c r="R236" s="165">
        <v>17600</v>
      </c>
      <c r="S236" s="165"/>
      <c r="T236" s="165"/>
      <c r="U236" s="165"/>
      <c r="V236" s="165"/>
      <c r="W236" s="165"/>
      <c r="X236" s="165">
        <f t="shared" si="133"/>
        <v>17600</v>
      </c>
      <c r="Y236" s="301"/>
      <c r="Z236" s="288"/>
      <c r="AA236" s="316"/>
      <c r="AB236" s="329"/>
      <c r="AC236" s="316"/>
    </row>
    <row r="237" spans="1:29" s="52" customFormat="1" ht="24" customHeight="1" x14ac:dyDescent="0.2">
      <c r="A237" s="48" t="s">
        <v>76</v>
      </c>
      <c r="B237" s="93">
        <v>804</v>
      </c>
      <c r="C237" s="131" t="s">
        <v>187</v>
      </c>
      <c r="D237" s="56" t="s">
        <v>561</v>
      </c>
      <c r="E237" s="44" t="s">
        <v>46</v>
      </c>
      <c r="F237" s="43" t="s">
        <v>77</v>
      </c>
      <c r="G237" s="43"/>
      <c r="H237" s="45">
        <f t="shared" ref="H237:O237" si="137">H241</f>
        <v>20000</v>
      </c>
      <c r="I237" s="45">
        <f t="shared" si="137"/>
        <v>0</v>
      </c>
      <c r="J237" s="45">
        <f t="shared" si="137"/>
        <v>0</v>
      </c>
      <c r="K237" s="46">
        <f t="shared" si="137"/>
        <v>0</v>
      </c>
      <c r="L237" s="46">
        <f t="shared" si="137"/>
        <v>0</v>
      </c>
      <c r="M237" s="46">
        <f t="shared" si="137"/>
        <v>0</v>
      </c>
      <c r="N237" s="47">
        <f t="shared" si="137"/>
        <v>20000</v>
      </c>
      <c r="O237" s="45">
        <f t="shared" si="137"/>
        <v>16000</v>
      </c>
      <c r="P237" s="353">
        <f>P238+P239+P240+P241</f>
        <v>25000</v>
      </c>
      <c r="Q237" s="165">
        <f t="shared" si="135"/>
        <v>0</v>
      </c>
      <c r="R237" s="353">
        <f>R238+R239+R240+R241</f>
        <v>0</v>
      </c>
      <c r="S237" s="353">
        <f t="shared" ref="S237:V237" si="138">S238+S239+S240+S241</f>
        <v>0</v>
      </c>
      <c r="T237" s="353">
        <f t="shared" si="138"/>
        <v>0</v>
      </c>
      <c r="U237" s="353">
        <f t="shared" si="138"/>
        <v>0</v>
      </c>
      <c r="V237" s="353">
        <f t="shared" si="138"/>
        <v>0</v>
      </c>
      <c r="W237" s="353"/>
      <c r="X237" s="315">
        <f t="shared" si="133"/>
        <v>25000</v>
      </c>
      <c r="Y237" s="369"/>
      <c r="Z237" s="289"/>
      <c r="AA237" s="319"/>
      <c r="AB237" s="395"/>
      <c r="AC237" s="319"/>
    </row>
    <row r="238" spans="1:29" s="52" customFormat="1" ht="24" customHeight="1" x14ac:dyDescent="0.2">
      <c r="A238" s="80" t="s">
        <v>479</v>
      </c>
      <c r="B238" s="93"/>
      <c r="C238" s="131"/>
      <c r="D238" s="131"/>
      <c r="E238" s="44"/>
      <c r="F238" s="170" t="s">
        <v>559</v>
      </c>
      <c r="G238" s="169" t="s">
        <v>473</v>
      </c>
      <c r="H238" s="315"/>
      <c r="I238" s="315"/>
      <c r="J238" s="315"/>
      <c r="K238" s="369"/>
      <c r="L238" s="369"/>
      <c r="M238" s="369"/>
      <c r="N238" s="370"/>
      <c r="O238" s="315"/>
      <c r="P238" s="262">
        <v>10000</v>
      </c>
      <c r="Q238" s="165">
        <f>R238+S238+T238+U238+V238</f>
        <v>0</v>
      </c>
      <c r="R238" s="262"/>
      <c r="S238" s="353"/>
      <c r="T238" s="353"/>
      <c r="U238" s="258"/>
      <c r="V238" s="258"/>
      <c r="W238" s="258"/>
      <c r="X238" s="165">
        <f t="shared" si="133"/>
        <v>10000</v>
      </c>
      <c r="Y238" s="369"/>
      <c r="Z238" s="289"/>
      <c r="AA238" s="319"/>
      <c r="AB238" s="398"/>
      <c r="AC238" s="319"/>
    </row>
    <row r="239" spans="1:29" s="52" customFormat="1" ht="24" customHeight="1" x14ac:dyDescent="0.2">
      <c r="A239" s="80" t="s">
        <v>480</v>
      </c>
      <c r="B239" s="93"/>
      <c r="C239" s="131"/>
      <c r="D239" s="131"/>
      <c r="E239" s="44"/>
      <c r="F239" s="170" t="s">
        <v>560</v>
      </c>
      <c r="G239" s="169" t="s">
        <v>79</v>
      </c>
      <c r="H239" s="315"/>
      <c r="I239" s="315"/>
      <c r="J239" s="315"/>
      <c r="K239" s="369"/>
      <c r="L239" s="369"/>
      <c r="M239" s="369"/>
      <c r="N239" s="370"/>
      <c r="O239" s="315"/>
      <c r="P239" s="262">
        <v>15000</v>
      </c>
      <c r="Q239" s="165">
        <f>R239+S239+T239+U239+V239</f>
        <v>0</v>
      </c>
      <c r="R239" s="262"/>
      <c r="S239" s="353"/>
      <c r="T239" s="353"/>
      <c r="U239" s="258"/>
      <c r="V239" s="258"/>
      <c r="W239" s="258"/>
      <c r="X239" s="165">
        <f t="shared" si="133"/>
        <v>15000</v>
      </c>
      <c r="Y239" s="369"/>
      <c r="Z239" s="289"/>
      <c r="AA239" s="319"/>
      <c r="AB239" s="398"/>
      <c r="AC239" s="319"/>
    </row>
    <row r="240" spans="1:29" s="52" customFormat="1" ht="24" hidden="1" customHeight="1" x14ac:dyDescent="0.2">
      <c r="A240" s="80" t="s">
        <v>133</v>
      </c>
      <c r="B240" s="93"/>
      <c r="C240" s="131"/>
      <c r="D240" s="131"/>
      <c r="E240" s="44"/>
      <c r="F240" s="43"/>
      <c r="G240" s="30" t="s">
        <v>126</v>
      </c>
      <c r="H240" s="45"/>
      <c r="I240" s="45"/>
      <c r="J240" s="45"/>
      <c r="K240" s="46"/>
      <c r="L240" s="46"/>
      <c r="M240" s="46"/>
      <c r="N240" s="47"/>
      <c r="O240" s="45"/>
      <c r="P240" s="262">
        <v>0</v>
      </c>
      <c r="Q240" s="165">
        <f>R240+S240+T240+U240+V240</f>
        <v>0</v>
      </c>
      <c r="R240" s="262"/>
      <c r="S240" s="353"/>
      <c r="T240" s="353"/>
      <c r="U240" s="258"/>
      <c r="V240" s="258"/>
      <c r="W240" s="258"/>
      <c r="X240" s="165">
        <f t="shared" si="133"/>
        <v>0</v>
      </c>
      <c r="Y240" s="369"/>
      <c r="Z240" s="289"/>
      <c r="AA240" s="319"/>
      <c r="AB240" s="398"/>
      <c r="AC240" s="319"/>
    </row>
    <row r="241" spans="1:29" ht="42.75" hidden="1" customHeight="1" x14ac:dyDescent="0.2">
      <c r="A241" s="40" t="s">
        <v>178</v>
      </c>
      <c r="B241" s="41"/>
      <c r="C241" s="8"/>
      <c r="D241" s="8"/>
      <c r="E241" s="9"/>
      <c r="F241" s="8"/>
      <c r="G241" s="8" t="s">
        <v>81</v>
      </c>
      <c r="H241" s="66">
        <v>20000</v>
      </c>
      <c r="I241" s="31">
        <f>SUM(J241:M241)</f>
        <v>0</v>
      </c>
      <c r="J241" s="66">
        <v>0</v>
      </c>
      <c r="K241" s="67"/>
      <c r="L241" s="67"/>
      <c r="M241" s="67"/>
      <c r="N241" s="33">
        <f>H241+I241</f>
        <v>20000</v>
      </c>
      <c r="O241" s="66">
        <f>20000*80%</f>
        <v>16000</v>
      </c>
      <c r="P241" s="335">
        <v>0</v>
      </c>
      <c r="Q241" s="165">
        <f>R241+S241+T241+U241+V241</f>
        <v>0</v>
      </c>
      <c r="R241" s="299"/>
      <c r="S241" s="299"/>
      <c r="T241" s="299"/>
      <c r="U241" s="165">
        <v>0</v>
      </c>
      <c r="V241" s="165"/>
      <c r="W241" s="165"/>
      <c r="X241" s="165">
        <f t="shared" si="133"/>
        <v>0</v>
      </c>
      <c r="Y241" s="301"/>
      <c r="Z241" s="288"/>
      <c r="AA241" s="316"/>
      <c r="AB241" s="391"/>
      <c r="AC241" s="316"/>
    </row>
    <row r="242" spans="1:29" ht="12.75" customHeight="1" x14ac:dyDescent="0.2">
      <c r="A242" s="11" t="s">
        <v>194</v>
      </c>
      <c r="B242" s="12"/>
      <c r="C242" s="13" t="s">
        <v>195</v>
      </c>
      <c r="D242" s="112" t="s">
        <v>18</v>
      </c>
      <c r="E242" s="14" t="s">
        <v>19</v>
      </c>
      <c r="F242" s="13"/>
      <c r="G242" s="13"/>
      <c r="H242" s="15">
        <f t="shared" ref="H242:O242" si="139">H246+H254+H269+H271+H258</f>
        <v>2972104.29</v>
      </c>
      <c r="I242" s="15">
        <f t="shared" si="139"/>
        <v>103473.41</v>
      </c>
      <c r="J242" s="15">
        <f t="shared" si="139"/>
        <v>98473.41</v>
      </c>
      <c r="K242" s="15">
        <f t="shared" si="139"/>
        <v>5000</v>
      </c>
      <c r="L242" s="15">
        <f t="shared" si="139"/>
        <v>0</v>
      </c>
      <c r="M242" s="15">
        <f t="shared" si="139"/>
        <v>0</v>
      </c>
      <c r="N242" s="15">
        <f t="shared" si="139"/>
        <v>2553473.41</v>
      </c>
      <c r="O242" s="15">
        <f t="shared" si="139"/>
        <v>2377683.432</v>
      </c>
      <c r="P242" s="256">
        <f>P243+P246+P269+P271+P258+P253</f>
        <v>25651013.719999999</v>
      </c>
      <c r="Q242" s="256">
        <f t="shared" ref="Q242:V242" si="140">Q243+Q246+Q269+Q271+Q258+Q253</f>
        <v>249000</v>
      </c>
      <c r="R242" s="256">
        <f t="shared" si="140"/>
        <v>0</v>
      </c>
      <c r="S242" s="256">
        <f t="shared" si="140"/>
        <v>0</v>
      </c>
      <c r="T242" s="256">
        <f>T243+T246+T269+T271+T258+T253</f>
        <v>249000</v>
      </c>
      <c r="U242" s="256">
        <f t="shared" si="140"/>
        <v>0</v>
      </c>
      <c r="V242" s="256">
        <f t="shared" si="140"/>
        <v>0</v>
      </c>
      <c r="W242" s="256"/>
      <c r="X242" s="256">
        <f>X243+X246+X269+X271+X258+X253</f>
        <v>25900013.719999999</v>
      </c>
      <c r="Y242" s="379"/>
      <c r="Z242" s="288"/>
      <c r="AA242" s="316"/>
      <c r="AB242" s="385"/>
      <c r="AC242" s="316"/>
    </row>
    <row r="243" spans="1:29" ht="12.75" customHeight="1" x14ac:dyDescent="0.2">
      <c r="A243" s="34" t="s">
        <v>196</v>
      </c>
      <c r="B243" s="35"/>
      <c r="C243" s="18" t="s">
        <v>197</v>
      </c>
      <c r="D243" s="83" t="s">
        <v>18</v>
      </c>
      <c r="E243" s="19" t="s">
        <v>46</v>
      </c>
      <c r="F243" s="18"/>
      <c r="G243" s="18"/>
      <c r="H243" s="20"/>
      <c r="I243" s="20"/>
      <c r="J243" s="20"/>
      <c r="K243" s="20"/>
      <c r="L243" s="20"/>
      <c r="M243" s="20"/>
      <c r="N243" s="20"/>
      <c r="O243" s="20"/>
      <c r="P243" s="444">
        <f>P244+P245</f>
        <v>93378.81</v>
      </c>
      <c r="Q243" s="183">
        <f>R243+S243+T243+U243</f>
        <v>0</v>
      </c>
      <c r="R243" s="257">
        <f>R244+R245</f>
        <v>0</v>
      </c>
      <c r="S243" s="257">
        <f>S244+S245</f>
        <v>0</v>
      </c>
      <c r="T243" s="257">
        <f>T244+T245</f>
        <v>0</v>
      </c>
      <c r="U243" s="257">
        <f t="shared" ref="U243:V243" si="141">U244+U245</f>
        <v>0</v>
      </c>
      <c r="V243" s="257">
        <f t="shared" si="141"/>
        <v>0</v>
      </c>
      <c r="W243" s="257"/>
      <c r="X243" s="183">
        <f>P243+Q243</f>
        <v>93378.81</v>
      </c>
      <c r="Y243" s="382"/>
      <c r="Z243" s="288"/>
      <c r="AA243" s="316"/>
      <c r="AB243" s="385"/>
      <c r="AC243" s="316"/>
    </row>
    <row r="244" spans="1:29" ht="29.25" hidden="1" customHeight="1" x14ac:dyDescent="0.2">
      <c r="A244" s="60" t="s">
        <v>198</v>
      </c>
      <c r="B244" s="133"/>
      <c r="C244" s="134"/>
      <c r="D244" s="58" t="s">
        <v>442</v>
      </c>
      <c r="E244" s="135"/>
      <c r="F244" s="146" t="s">
        <v>58</v>
      </c>
      <c r="G244" s="146" t="s">
        <v>64</v>
      </c>
      <c r="H244" s="63"/>
      <c r="I244" s="63"/>
      <c r="J244" s="63"/>
      <c r="K244" s="63"/>
      <c r="L244" s="63"/>
      <c r="M244" s="63"/>
      <c r="N244" s="63"/>
      <c r="O244" s="63"/>
      <c r="P244" s="262">
        <v>0</v>
      </c>
      <c r="Q244" s="163">
        <f>R244+S244+T244+U244</f>
        <v>0</v>
      </c>
      <c r="R244" s="163"/>
      <c r="S244" s="163"/>
      <c r="T244" s="163"/>
      <c r="U244" s="163"/>
      <c r="V244" s="163"/>
      <c r="W244" s="163"/>
      <c r="X244" s="163">
        <f>P244+Q244</f>
        <v>0</v>
      </c>
      <c r="Y244" s="301"/>
      <c r="Z244" s="288"/>
      <c r="AA244" s="316"/>
      <c r="AB244" s="332"/>
      <c r="AC244" s="316"/>
    </row>
    <row r="245" spans="1:29" ht="29.25" customHeight="1" x14ac:dyDescent="0.2">
      <c r="A245" s="60" t="s">
        <v>431</v>
      </c>
      <c r="B245" s="133"/>
      <c r="C245" s="134"/>
      <c r="D245" s="58" t="s">
        <v>432</v>
      </c>
      <c r="E245" s="135"/>
      <c r="F245" s="146" t="s">
        <v>58</v>
      </c>
      <c r="G245" s="146" t="s">
        <v>64</v>
      </c>
      <c r="H245" s="63"/>
      <c r="I245" s="63"/>
      <c r="J245" s="63"/>
      <c r="K245" s="63"/>
      <c r="L245" s="63"/>
      <c r="M245" s="63"/>
      <c r="N245" s="63"/>
      <c r="O245" s="63"/>
      <c r="P245" s="262">
        <v>93378.81</v>
      </c>
      <c r="Q245" s="163">
        <f>R245+S245+T245+U245+V245</f>
        <v>0</v>
      </c>
      <c r="R245" s="163">
        <v>0</v>
      </c>
      <c r="S245" s="163"/>
      <c r="T245" s="163"/>
      <c r="U245" s="163">
        <v>0</v>
      </c>
      <c r="V245" s="163"/>
      <c r="W245" s="163"/>
      <c r="X245" s="163">
        <f>P245+Q245</f>
        <v>93378.81</v>
      </c>
      <c r="Y245" s="301" t="s">
        <v>595</v>
      </c>
      <c r="Z245" s="288"/>
      <c r="AA245" s="316"/>
      <c r="AB245" s="332"/>
      <c r="AC245" s="316"/>
    </row>
    <row r="246" spans="1:29" ht="38.25" x14ac:dyDescent="0.2">
      <c r="A246" s="34" t="s">
        <v>199</v>
      </c>
      <c r="B246" s="35">
        <v>804</v>
      </c>
      <c r="C246" s="18" t="s">
        <v>200</v>
      </c>
      <c r="D246" s="83" t="s">
        <v>18</v>
      </c>
      <c r="E246" s="19" t="s">
        <v>19</v>
      </c>
      <c r="F246" s="18"/>
      <c r="G246" s="18"/>
      <c r="H246" s="20">
        <f>H247+H251</f>
        <v>1000000</v>
      </c>
      <c r="I246" s="20">
        <f t="shared" ref="I246:N246" si="142">I247+I251</f>
        <v>0</v>
      </c>
      <c r="J246" s="20">
        <f t="shared" si="142"/>
        <v>0</v>
      </c>
      <c r="K246" s="20">
        <f t="shared" si="142"/>
        <v>0</v>
      </c>
      <c r="L246" s="20">
        <f t="shared" si="142"/>
        <v>0</v>
      </c>
      <c r="M246" s="20">
        <f t="shared" si="142"/>
        <v>0</v>
      </c>
      <c r="N246" s="20">
        <f t="shared" si="142"/>
        <v>1000000</v>
      </c>
      <c r="O246" s="20">
        <f>O247+O251</f>
        <v>800000</v>
      </c>
      <c r="P246" s="444">
        <f>P247</f>
        <v>237500</v>
      </c>
      <c r="Q246" s="257">
        <f t="shared" ref="Q246:V249" si="143">Q247</f>
        <v>0</v>
      </c>
      <c r="R246" s="257">
        <f t="shared" si="143"/>
        <v>0</v>
      </c>
      <c r="S246" s="257">
        <f t="shared" si="143"/>
        <v>0</v>
      </c>
      <c r="T246" s="257">
        <f t="shared" si="143"/>
        <v>0</v>
      </c>
      <c r="U246" s="257">
        <f t="shared" si="143"/>
        <v>0</v>
      </c>
      <c r="V246" s="257">
        <f t="shared" si="143"/>
        <v>0</v>
      </c>
      <c r="W246" s="257"/>
      <c r="X246" s="257">
        <f>X247</f>
        <v>237500</v>
      </c>
      <c r="Y246" s="382"/>
      <c r="Z246" s="288"/>
      <c r="AA246" s="316"/>
      <c r="AB246" s="385"/>
      <c r="AC246" s="316"/>
    </row>
    <row r="247" spans="1:29" ht="12.75" customHeight="1" x14ac:dyDescent="0.2">
      <c r="A247" s="23" t="s">
        <v>201</v>
      </c>
      <c r="B247" s="24">
        <v>804</v>
      </c>
      <c r="C247" s="25" t="s">
        <v>200</v>
      </c>
      <c r="D247" s="89" t="s">
        <v>18</v>
      </c>
      <c r="E247" s="26" t="s">
        <v>19</v>
      </c>
      <c r="F247" s="25" t="s">
        <v>19</v>
      </c>
      <c r="G247" s="25"/>
      <c r="H247" s="27">
        <f t="shared" ref="H247:X249" si="144">H248</f>
        <v>1000000</v>
      </c>
      <c r="I247" s="27">
        <f t="shared" si="144"/>
        <v>0</v>
      </c>
      <c r="J247" s="27">
        <f t="shared" si="144"/>
        <v>0</v>
      </c>
      <c r="K247" s="28">
        <f t="shared" si="144"/>
        <v>0</v>
      </c>
      <c r="L247" s="28">
        <f t="shared" si="144"/>
        <v>0</v>
      </c>
      <c r="M247" s="28">
        <f t="shared" si="144"/>
        <v>0</v>
      </c>
      <c r="N247" s="29">
        <f t="shared" si="144"/>
        <v>1000000</v>
      </c>
      <c r="O247" s="27">
        <f t="shared" si="144"/>
        <v>800000</v>
      </c>
      <c r="P247" s="258">
        <f>P248</f>
        <v>237500</v>
      </c>
      <c r="Q247" s="258">
        <f t="shared" ref="Q247:X247" si="145">Q248</f>
        <v>0</v>
      </c>
      <c r="R247" s="258">
        <f t="shared" si="143"/>
        <v>0</v>
      </c>
      <c r="S247" s="258">
        <f t="shared" si="145"/>
        <v>0</v>
      </c>
      <c r="T247" s="258">
        <f t="shared" si="145"/>
        <v>0</v>
      </c>
      <c r="U247" s="258">
        <f t="shared" si="145"/>
        <v>0</v>
      </c>
      <c r="V247" s="258">
        <f t="shared" si="145"/>
        <v>0</v>
      </c>
      <c r="W247" s="258"/>
      <c r="X247" s="258">
        <f t="shared" si="145"/>
        <v>237500</v>
      </c>
      <c r="Y247" s="301"/>
      <c r="Z247" s="288"/>
      <c r="AA247" s="288"/>
      <c r="AB247" s="385"/>
      <c r="AC247" s="316"/>
    </row>
    <row r="248" spans="1:29" ht="25.5" x14ac:dyDescent="0.2">
      <c r="A248" s="23" t="s">
        <v>202</v>
      </c>
      <c r="B248" s="79">
        <v>804</v>
      </c>
      <c r="C248" s="25" t="s">
        <v>200</v>
      </c>
      <c r="D248" s="25" t="s">
        <v>443</v>
      </c>
      <c r="E248" s="26" t="s">
        <v>19</v>
      </c>
      <c r="F248" s="25" t="s">
        <v>19</v>
      </c>
      <c r="G248" s="25"/>
      <c r="H248" s="27">
        <f t="shared" si="144"/>
        <v>1000000</v>
      </c>
      <c r="I248" s="27">
        <f t="shared" si="144"/>
        <v>0</v>
      </c>
      <c r="J248" s="27">
        <f t="shared" si="144"/>
        <v>0</v>
      </c>
      <c r="K248" s="28">
        <f t="shared" si="144"/>
        <v>0</v>
      </c>
      <c r="L248" s="28">
        <f t="shared" si="144"/>
        <v>0</v>
      </c>
      <c r="M248" s="28">
        <f t="shared" si="144"/>
        <v>0</v>
      </c>
      <c r="N248" s="29">
        <f t="shared" si="144"/>
        <v>1000000</v>
      </c>
      <c r="O248" s="27">
        <f t="shared" si="144"/>
        <v>800000</v>
      </c>
      <c r="P248" s="258">
        <f t="shared" si="144"/>
        <v>237500</v>
      </c>
      <c r="Q248" s="258">
        <f t="shared" si="144"/>
        <v>0</v>
      </c>
      <c r="R248" s="258">
        <f t="shared" si="143"/>
        <v>0</v>
      </c>
      <c r="S248" s="258">
        <f t="shared" si="144"/>
        <v>0</v>
      </c>
      <c r="T248" s="258">
        <f t="shared" si="144"/>
        <v>0</v>
      </c>
      <c r="U248" s="258">
        <f t="shared" si="144"/>
        <v>0</v>
      </c>
      <c r="V248" s="258">
        <f t="shared" si="144"/>
        <v>0</v>
      </c>
      <c r="W248" s="258"/>
      <c r="X248" s="258">
        <f t="shared" si="144"/>
        <v>237500</v>
      </c>
      <c r="Y248" s="301"/>
      <c r="Z248" s="288"/>
      <c r="AA248" s="316"/>
      <c r="AB248" s="385"/>
      <c r="AC248" s="316"/>
    </row>
    <row r="249" spans="1:29" ht="25.5" x14ac:dyDescent="0.2">
      <c r="A249" s="23" t="s">
        <v>203</v>
      </c>
      <c r="B249" s="79">
        <v>804</v>
      </c>
      <c r="C249" s="25" t="s">
        <v>200</v>
      </c>
      <c r="D249" s="25"/>
      <c r="E249" s="26" t="s">
        <v>400</v>
      </c>
      <c r="F249" s="25" t="s">
        <v>204</v>
      </c>
      <c r="G249" s="25"/>
      <c r="H249" s="27">
        <f t="shared" si="144"/>
        <v>1000000</v>
      </c>
      <c r="I249" s="27">
        <f t="shared" si="144"/>
        <v>0</v>
      </c>
      <c r="J249" s="27">
        <f t="shared" si="144"/>
        <v>0</v>
      </c>
      <c r="K249" s="28">
        <f t="shared" si="144"/>
        <v>0</v>
      </c>
      <c r="L249" s="28">
        <f t="shared" si="144"/>
        <v>0</v>
      </c>
      <c r="M249" s="28">
        <f t="shared" si="144"/>
        <v>0</v>
      </c>
      <c r="N249" s="29">
        <f t="shared" si="144"/>
        <v>1000000</v>
      </c>
      <c r="O249" s="27">
        <f t="shared" si="144"/>
        <v>800000</v>
      </c>
      <c r="P249" s="258">
        <f t="shared" si="144"/>
        <v>237500</v>
      </c>
      <c r="Q249" s="258">
        <f t="shared" si="144"/>
        <v>0</v>
      </c>
      <c r="R249" s="258">
        <f t="shared" si="143"/>
        <v>0</v>
      </c>
      <c r="S249" s="258">
        <f t="shared" si="144"/>
        <v>0</v>
      </c>
      <c r="T249" s="258">
        <f t="shared" si="144"/>
        <v>0</v>
      </c>
      <c r="U249" s="258">
        <f t="shared" si="144"/>
        <v>0</v>
      </c>
      <c r="V249" s="258">
        <f t="shared" si="144"/>
        <v>0</v>
      </c>
      <c r="W249" s="258"/>
      <c r="X249" s="258">
        <f t="shared" si="144"/>
        <v>237500</v>
      </c>
      <c r="Y249" s="301"/>
      <c r="Z249" s="288"/>
      <c r="AA249" s="316"/>
      <c r="AB249" s="385"/>
      <c r="AC249" s="316"/>
    </row>
    <row r="250" spans="1:29" ht="53.25" customHeight="1" x14ac:dyDescent="0.2">
      <c r="A250" s="136" t="s">
        <v>205</v>
      </c>
      <c r="B250" s="126"/>
      <c r="C250" s="127"/>
      <c r="D250" s="127"/>
      <c r="E250" s="128"/>
      <c r="F250" s="127" t="s">
        <v>562</v>
      </c>
      <c r="G250" s="127"/>
      <c r="H250" s="31">
        <v>1000000</v>
      </c>
      <c r="I250" s="31">
        <f>SUM(J250:M250)</f>
        <v>0</v>
      </c>
      <c r="J250" s="31">
        <v>0</v>
      </c>
      <c r="K250" s="32">
        <v>0</v>
      </c>
      <c r="L250" s="32">
        <v>0</v>
      </c>
      <c r="M250" s="32">
        <v>0</v>
      </c>
      <c r="N250" s="33">
        <f>H250+I250</f>
        <v>1000000</v>
      </c>
      <c r="O250" s="31">
        <f>1000000*80%</f>
        <v>800000</v>
      </c>
      <c r="P250" s="260">
        <v>237500</v>
      </c>
      <c r="Q250" s="165">
        <f>R250+S250+T250+U250+V250</f>
        <v>0</v>
      </c>
      <c r="R250" s="165">
        <v>0</v>
      </c>
      <c r="S250" s="165"/>
      <c r="T250" s="165"/>
      <c r="U250" s="165">
        <v>0</v>
      </c>
      <c r="V250" s="165"/>
      <c r="W250" s="165"/>
      <c r="X250" s="165">
        <f>P250+Q250</f>
        <v>237500</v>
      </c>
      <c r="Y250" s="301" t="s">
        <v>595</v>
      </c>
      <c r="Z250" s="288"/>
      <c r="AA250" s="316"/>
      <c r="AB250" s="329"/>
      <c r="AC250" s="316"/>
    </row>
    <row r="251" spans="1:29" s="52" customFormat="1" ht="27" hidden="1" customHeight="1" x14ac:dyDescent="0.2">
      <c r="A251" s="48" t="s">
        <v>72</v>
      </c>
      <c r="B251" s="93">
        <v>804</v>
      </c>
      <c r="C251" s="43" t="s">
        <v>200</v>
      </c>
      <c r="D251" s="43" t="s">
        <v>206</v>
      </c>
      <c r="E251" s="44" t="s">
        <v>46</v>
      </c>
      <c r="F251" s="43" t="s">
        <v>73</v>
      </c>
      <c r="G251" s="43"/>
      <c r="H251" s="45">
        <f t="shared" ref="H251:P251" si="146">H252</f>
        <v>0</v>
      </c>
      <c r="I251" s="45">
        <f t="shared" si="146"/>
        <v>0</v>
      </c>
      <c r="J251" s="45">
        <f t="shared" si="146"/>
        <v>0</v>
      </c>
      <c r="K251" s="46">
        <f t="shared" si="146"/>
        <v>0</v>
      </c>
      <c r="L251" s="46">
        <f t="shared" si="146"/>
        <v>0</v>
      </c>
      <c r="M251" s="46">
        <f t="shared" si="146"/>
        <v>0</v>
      </c>
      <c r="N251" s="47">
        <f t="shared" si="146"/>
        <v>0</v>
      </c>
      <c r="O251" s="45">
        <f t="shared" si="146"/>
        <v>0</v>
      </c>
      <c r="P251" s="353">
        <f t="shared" si="146"/>
        <v>0</v>
      </c>
      <c r="Q251" s="315"/>
      <c r="R251" s="315"/>
      <c r="S251" s="315"/>
      <c r="T251" s="315"/>
      <c r="U251" s="124"/>
      <c r="V251" s="124"/>
      <c r="W251" s="124"/>
      <c r="X251" s="165"/>
      <c r="Y251" s="369"/>
      <c r="Z251" s="289"/>
      <c r="AA251" s="319"/>
      <c r="AB251" s="387"/>
      <c r="AC251" s="319"/>
    </row>
    <row r="252" spans="1:29" ht="39.75" hidden="1" customHeight="1" x14ac:dyDescent="0.2">
      <c r="A252" s="40" t="s">
        <v>178</v>
      </c>
      <c r="B252" s="41"/>
      <c r="C252" s="8"/>
      <c r="D252" s="8"/>
      <c r="E252" s="9"/>
      <c r="F252" s="8"/>
      <c r="G252" s="8" t="s">
        <v>75</v>
      </c>
      <c r="H252" s="66">
        <v>0</v>
      </c>
      <c r="I252" s="31">
        <f>SUM(J252:M252)</f>
        <v>0</v>
      </c>
      <c r="J252" s="66">
        <v>0</v>
      </c>
      <c r="K252" s="67">
        <v>0</v>
      </c>
      <c r="L252" s="67">
        <v>0</v>
      </c>
      <c r="M252" s="67">
        <v>0</v>
      </c>
      <c r="N252" s="33">
        <f>H252+I252</f>
        <v>0</v>
      </c>
      <c r="O252" s="66">
        <v>0</v>
      </c>
      <c r="P252" s="335">
        <v>0</v>
      </c>
      <c r="Q252" s="299"/>
      <c r="R252" s="299"/>
      <c r="S252" s="299"/>
      <c r="T252" s="299"/>
      <c r="U252" s="165"/>
      <c r="V252" s="165"/>
      <c r="W252" s="165"/>
      <c r="X252" s="165"/>
      <c r="Y252" s="301"/>
      <c r="Z252" s="288"/>
      <c r="AA252" s="316"/>
      <c r="AB252" s="391"/>
      <c r="AC252" s="316"/>
    </row>
    <row r="253" spans="1:29" ht="39.75" customHeight="1" x14ac:dyDescent="0.2">
      <c r="A253" s="346" t="s">
        <v>447</v>
      </c>
      <c r="B253" s="82">
        <v>804</v>
      </c>
      <c r="C253" s="83" t="s">
        <v>208</v>
      </c>
      <c r="D253" s="83" t="s">
        <v>18</v>
      </c>
      <c r="E253" s="84" t="s">
        <v>19</v>
      </c>
      <c r="F253" s="83" t="s">
        <v>19</v>
      </c>
      <c r="G253" s="83" t="s">
        <v>358</v>
      </c>
      <c r="H253" s="85"/>
      <c r="I253" s="86"/>
      <c r="J253" s="85"/>
      <c r="K253" s="87"/>
      <c r="L253" s="87"/>
      <c r="M253" s="87"/>
      <c r="N253" s="347"/>
      <c r="O253" s="85"/>
      <c r="P253" s="445">
        <f t="shared" ref="P253:Q253" si="147">P254+P267+P268</f>
        <v>24801435.219999999</v>
      </c>
      <c r="Q253" s="259">
        <f t="shared" si="147"/>
        <v>99000</v>
      </c>
      <c r="R253" s="259">
        <f>R254+R267+R268</f>
        <v>0</v>
      </c>
      <c r="S253" s="259">
        <f t="shared" ref="S253:X253" si="148">S254+S267+S268</f>
        <v>0</v>
      </c>
      <c r="T253" s="259">
        <f t="shared" si="148"/>
        <v>99000</v>
      </c>
      <c r="U253" s="259">
        <f t="shared" si="148"/>
        <v>0</v>
      </c>
      <c r="V253" s="259">
        <f t="shared" si="148"/>
        <v>0</v>
      </c>
      <c r="W253" s="259">
        <f t="shared" si="148"/>
        <v>0</v>
      </c>
      <c r="X253" s="259">
        <f t="shared" si="148"/>
        <v>24900435.219999999</v>
      </c>
      <c r="Y253" s="382"/>
      <c r="Z253" s="288"/>
      <c r="AA253" s="316"/>
      <c r="AB253" s="396"/>
      <c r="AC253" s="316"/>
    </row>
    <row r="254" spans="1:29" ht="78" customHeight="1" x14ac:dyDescent="0.2">
      <c r="A254" s="137" t="s">
        <v>207</v>
      </c>
      <c r="B254" s="75" t="s">
        <v>130</v>
      </c>
      <c r="C254" s="43" t="s">
        <v>208</v>
      </c>
      <c r="D254" s="43" t="s">
        <v>209</v>
      </c>
      <c r="E254" s="26" t="s">
        <v>46</v>
      </c>
      <c r="F254" s="25" t="s">
        <v>51</v>
      </c>
      <c r="G254" s="8"/>
      <c r="H254" s="45">
        <f>SUM(H255:H257)</f>
        <v>1922104.29</v>
      </c>
      <c r="I254" s="45">
        <f t="shared" ref="I254:O254" si="149">SUM(I255:I257)</f>
        <v>103473.41</v>
      </c>
      <c r="J254" s="45">
        <f t="shared" si="149"/>
        <v>98473.41</v>
      </c>
      <c r="K254" s="45">
        <f t="shared" si="149"/>
        <v>5000</v>
      </c>
      <c r="L254" s="45">
        <f t="shared" si="149"/>
        <v>0</v>
      </c>
      <c r="M254" s="45">
        <f t="shared" si="149"/>
        <v>0</v>
      </c>
      <c r="N254" s="45">
        <f t="shared" si="149"/>
        <v>1503473.41</v>
      </c>
      <c r="O254" s="45">
        <f t="shared" si="149"/>
        <v>1537683.432</v>
      </c>
      <c r="P254" s="353">
        <f>SUM(P255:P261)+P262+P265</f>
        <v>371877.22</v>
      </c>
      <c r="Q254" s="353">
        <f t="shared" ref="Q254:V254" si="150">SUM(Q255:Q261)+Q262+Q265</f>
        <v>0</v>
      </c>
      <c r="R254" s="353">
        <f t="shared" si="150"/>
        <v>0</v>
      </c>
      <c r="S254" s="353">
        <f t="shared" si="150"/>
        <v>0</v>
      </c>
      <c r="T254" s="353">
        <f t="shared" si="150"/>
        <v>0</v>
      </c>
      <c r="U254" s="353">
        <f t="shared" si="150"/>
        <v>0</v>
      </c>
      <c r="V254" s="353">
        <f t="shared" si="150"/>
        <v>0</v>
      </c>
      <c r="W254" s="353"/>
      <c r="X254" s="353">
        <f>SUM(X255:X261)+X262+X265</f>
        <v>371877.22</v>
      </c>
      <c r="Y254" s="301"/>
      <c r="Z254" s="288"/>
      <c r="AA254" s="316"/>
      <c r="AB254" s="395"/>
      <c r="AC254" s="316"/>
    </row>
    <row r="255" spans="1:29" ht="26.25" hidden="1" customHeight="1" x14ac:dyDescent="0.2">
      <c r="A255" s="95" t="s">
        <v>210</v>
      </c>
      <c r="B255" s="138"/>
      <c r="C255" s="8"/>
      <c r="D255" s="30"/>
      <c r="E255" s="9"/>
      <c r="F255" s="8"/>
      <c r="G255" s="8" t="s">
        <v>56</v>
      </c>
      <c r="H255" s="31">
        <f>470036.97+47783.76+4283.56</f>
        <v>522104.29</v>
      </c>
      <c r="I255" s="31"/>
      <c r="J255" s="66"/>
      <c r="K255" s="67"/>
      <c r="L255" s="67"/>
      <c r="M255" s="67"/>
      <c r="N255" s="33"/>
      <c r="O255" s="31">
        <f>(470036.97+47783.76+4283.56)*80%</f>
        <v>417683.43200000003</v>
      </c>
      <c r="P255" s="260">
        <v>0</v>
      </c>
      <c r="Q255" s="165"/>
      <c r="R255" s="165"/>
      <c r="S255" s="165"/>
      <c r="T255" s="165"/>
      <c r="U255" s="165"/>
      <c r="V255" s="165"/>
      <c r="W255" s="165"/>
      <c r="X255" s="165"/>
      <c r="Y255" s="301"/>
      <c r="Z255" s="288"/>
      <c r="AA255" s="316"/>
      <c r="AB255" s="329"/>
      <c r="AC255" s="316"/>
    </row>
    <row r="256" spans="1:29" ht="25.5" hidden="1" customHeight="1" x14ac:dyDescent="0.2">
      <c r="A256" s="53" t="s">
        <v>211</v>
      </c>
      <c r="B256" s="138" t="s">
        <v>130</v>
      </c>
      <c r="C256" s="8" t="s">
        <v>208</v>
      </c>
      <c r="D256" s="30" t="s">
        <v>209</v>
      </c>
      <c r="E256" s="9" t="s">
        <v>140</v>
      </c>
      <c r="F256" s="8" t="s">
        <v>51</v>
      </c>
      <c r="G256" s="8" t="s">
        <v>56</v>
      </c>
      <c r="H256" s="31">
        <v>0</v>
      </c>
      <c r="I256" s="31"/>
      <c r="J256" s="66"/>
      <c r="K256" s="67"/>
      <c r="L256" s="67"/>
      <c r="M256" s="67"/>
      <c r="N256" s="33"/>
      <c r="O256" s="31">
        <v>0</v>
      </c>
      <c r="P256" s="260">
        <v>0</v>
      </c>
      <c r="Q256" s="165">
        <f t="shared" ref="Q256:Q261" si="151">R256+S256+T256+U256</f>
        <v>0</v>
      </c>
      <c r="R256" s="165"/>
      <c r="S256" s="165"/>
      <c r="T256" s="165">
        <v>0</v>
      </c>
      <c r="U256" s="165"/>
      <c r="V256" s="165"/>
      <c r="W256" s="165"/>
      <c r="X256" s="165">
        <f t="shared" ref="X256:X261" si="152">P256+Q256</f>
        <v>0</v>
      </c>
      <c r="Y256" s="301"/>
      <c r="Z256" s="288"/>
      <c r="AA256" s="316"/>
      <c r="AB256" s="329"/>
      <c r="AC256" s="316"/>
    </row>
    <row r="257" spans="1:29" ht="25.5" hidden="1" customHeight="1" x14ac:dyDescent="0.2">
      <c r="A257" s="6" t="s">
        <v>212</v>
      </c>
      <c r="B257" s="138"/>
      <c r="C257" s="8"/>
      <c r="D257" s="30"/>
      <c r="E257" s="9"/>
      <c r="F257" s="8"/>
      <c r="G257" s="8" t="s">
        <v>101</v>
      </c>
      <c r="H257" s="31">
        <f>2500000-1100000</f>
        <v>1400000</v>
      </c>
      <c r="I257" s="31">
        <f>SUM(J257:M257)</f>
        <v>103473.41</v>
      </c>
      <c r="J257" s="66">
        <v>98473.41</v>
      </c>
      <c r="K257" s="67">
        <v>5000</v>
      </c>
      <c r="L257" s="67">
        <v>0</v>
      </c>
      <c r="M257" s="67">
        <v>0</v>
      </c>
      <c r="N257" s="33">
        <f>H257+I257</f>
        <v>1503473.41</v>
      </c>
      <c r="O257" s="31">
        <f>(2500000-1100000)*80%</f>
        <v>1120000</v>
      </c>
      <c r="P257" s="260">
        <v>0</v>
      </c>
      <c r="Q257" s="165">
        <f t="shared" si="151"/>
        <v>0</v>
      </c>
      <c r="R257" s="165"/>
      <c r="S257" s="165"/>
      <c r="T257" s="165"/>
      <c r="U257" s="165"/>
      <c r="V257" s="165"/>
      <c r="W257" s="165"/>
      <c r="X257" s="165">
        <f t="shared" si="152"/>
        <v>0</v>
      </c>
      <c r="Y257" s="301"/>
      <c r="Z257" s="288"/>
      <c r="AA257" s="316"/>
      <c r="AB257" s="329"/>
      <c r="AC257" s="316"/>
    </row>
    <row r="258" spans="1:29" s="52" customFormat="1" ht="15.75" hidden="1" customHeight="1" x14ac:dyDescent="0.2">
      <c r="A258" s="48" t="s">
        <v>57</v>
      </c>
      <c r="B258" s="75" t="s">
        <v>130</v>
      </c>
      <c r="C258" s="43" t="s">
        <v>208</v>
      </c>
      <c r="D258" s="43" t="s">
        <v>209</v>
      </c>
      <c r="E258" s="26" t="s">
        <v>46</v>
      </c>
      <c r="F258" s="43" t="s">
        <v>58</v>
      </c>
      <c r="G258" s="43"/>
      <c r="H258" s="45">
        <f>H259</f>
        <v>0</v>
      </c>
      <c r="I258" s="45"/>
      <c r="J258" s="139"/>
      <c r="K258" s="140"/>
      <c r="L258" s="140"/>
      <c r="M258" s="140"/>
      <c r="N258" s="47"/>
      <c r="O258" s="45"/>
      <c r="P258" s="353">
        <f>P259+P260</f>
        <v>0</v>
      </c>
      <c r="Q258" s="165">
        <f t="shared" si="151"/>
        <v>0</v>
      </c>
      <c r="R258" s="315"/>
      <c r="S258" s="315"/>
      <c r="T258" s="315"/>
      <c r="U258" s="124"/>
      <c r="V258" s="124"/>
      <c r="W258" s="124"/>
      <c r="X258" s="165">
        <f t="shared" si="152"/>
        <v>0</v>
      </c>
      <c r="Y258" s="369"/>
      <c r="Z258" s="289"/>
      <c r="AA258" s="319"/>
      <c r="AB258" s="387"/>
      <c r="AC258" s="319"/>
    </row>
    <row r="259" spans="1:29" ht="21.75" hidden="1" customHeight="1" x14ac:dyDescent="0.2">
      <c r="A259" s="6" t="s">
        <v>213</v>
      </c>
      <c r="B259" s="138"/>
      <c r="C259" s="8"/>
      <c r="D259" s="30"/>
      <c r="E259" s="9"/>
      <c r="F259" s="8"/>
      <c r="G259" s="8" t="s">
        <v>64</v>
      </c>
      <c r="H259" s="31">
        <v>0</v>
      </c>
      <c r="I259" s="31"/>
      <c r="J259" s="66"/>
      <c r="K259" s="67"/>
      <c r="L259" s="67"/>
      <c r="M259" s="67"/>
      <c r="N259" s="33"/>
      <c r="O259" s="31"/>
      <c r="P259" s="260">
        <v>0</v>
      </c>
      <c r="Q259" s="165">
        <f t="shared" si="151"/>
        <v>0</v>
      </c>
      <c r="R259" s="165"/>
      <c r="S259" s="165"/>
      <c r="T259" s="165"/>
      <c r="U259" s="165"/>
      <c r="V259" s="165"/>
      <c r="W259" s="165"/>
      <c r="X259" s="165">
        <f t="shared" si="152"/>
        <v>0</v>
      </c>
      <c r="Y259" s="301"/>
      <c r="Z259" s="288"/>
      <c r="AA259" s="316"/>
      <c r="AB259" s="329"/>
      <c r="AC259" s="316"/>
    </row>
    <row r="260" spans="1:29" ht="21.75" hidden="1" customHeight="1" x14ac:dyDescent="0.2">
      <c r="A260" s="53" t="s">
        <v>214</v>
      </c>
      <c r="B260" s="138"/>
      <c r="C260" s="8"/>
      <c r="D260" s="30"/>
      <c r="E260" s="9"/>
      <c r="F260" s="8"/>
      <c r="G260" s="8" t="s">
        <v>103</v>
      </c>
      <c r="H260" s="31">
        <v>0</v>
      </c>
      <c r="I260" s="31"/>
      <c r="J260" s="66"/>
      <c r="K260" s="67"/>
      <c r="L260" s="67"/>
      <c r="M260" s="67"/>
      <c r="N260" s="33"/>
      <c r="O260" s="31"/>
      <c r="P260" s="260">
        <v>0</v>
      </c>
      <c r="Q260" s="165">
        <f t="shared" si="151"/>
        <v>0</v>
      </c>
      <c r="R260" s="165"/>
      <c r="S260" s="165"/>
      <c r="T260" s="165"/>
      <c r="U260" s="165"/>
      <c r="V260" s="165"/>
      <c r="W260" s="165"/>
      <c r="X260" s="165">
        <f t="shared" si="152"/>
        <v>0</v>
      </c>
      <c r="Y260" s="301"/>
      <c r="Z260" s="288"/>
      <c r="AA260" s="316"/>
      <c r="AB260" s="329"/>
      <c r="AC260" s="316"/>
    </row>
    <row r="261" spans="1:29" ht="21.75" hidden="1" customHeight="1" x14ac:dyDescent="0.2">
      <c r="A261" s="53" t="s">
        <v>408</v>
      </c>
      <c r="B261" s="194" t="s">
        <v>130</v>
      </c>
      <c r="C261" s="30" t="s">
        <v>208</v>
      </c>
      <c r="D261" s="30" t="s">
        <v>410</v>
      </c>
      <c r="E261" s="62" t="s">
        <v>140</v>
      </c>
      <c r="F261" s="30" t="s">
        <v>51</v>
      </c>
      <c r="G261" s="30" t="s">
        <v>56</v>
      </c>
      <c r="H261" s="31"/>
      <c r="I261" s="31"/>
      <c r="J261" s="66"/>
      <c r="K261" s="67"/>
      <c r="L261" s="67"/>
      <c r="M261" s="67"/>
      <c r="N261" s="33"/>
      <c r="O261" s="31"/>
      <c r="P261" s="260">
        <v>0</v>
      </c>
      <c r="Q261" s="165">
        <f t="shared" si="151"/>
        <v>0</v>
      </c>
      <c r="R261" s="165"/>
      <c r="S261" s="165">
        <v>0</v>
      </c>
      <c r="T261" s="165"/>
      <c r="U261" s="165"/>
      <c r="V261" s="165"/>
      <c r="W261" s="165"/>
      <c r="X261" s="165">
        <f t="shared" si="152"/>
        <v>0</v>
      </c>
      <c r="Y261" s="301"/>
      <c r="Z261" s="288"/>
      <c r="AA261" s="316"/>
      <c r="AB261" s="329"/>
      <c r="AC261" s="316"/>
    </row>
    <row r="262" spans="1:29" ht="21.75" customHeight="1" x14ac:dyDescent="0.2">
      <c r="A262" s="137" t="s">
        <v>212</v>
      </c>
      <c r="B262" s="75" t="s">
        <v>130</v>
      </c>
      <c r="C262" s="43" t="s">
        <v>208</v>
      </c>
      <c r="D262" s="89" t="s">
        <v>18</v>
      </c>
      <c r="E262" s="44" t="s">
        <v>19</v>
      </c>
      <c r="F262" s="43" t="s">
        <v>51</v>
      </c>
      <c r="G262" s="43"/>
      <c r="H262" s="45">
        <f>H269</f>
        <v>50000</v>
      </c>
      <c r="I262" s="45"/>
      <c r="J262" s="139"/>
      <c r="K262" s="140"/>
      <c r="L262" s="140"/>
      <c r="M262" s="140"/>
      <c r="N262" s="47"/>
      <c r="O262" s="45"/>
      <c r="P262" s="353">
        <f>P263+P264</f>
        <v>371877.22</v>
      </c>
      <c r="Q262" s="353">
        <f t="shared" ref="Q262:V262" si="153">Q263+Q264</f>
        <v>0</v>
      </c>
      <c r="R262" s="353">
        <f t="shared" si="153"/>
        <v>0</v>
      </c>
      <c r="S262" s="353">
        <f t="shared" si="153"/>
        <v>0</v>
      </c>
      <c r="T262" s="353">
        <f t="shared" si="153"/>
        <v>0</v>
      </c>
      <c r="U262" s="353">
        <f t="shared" si="153"/>
        <v>0</v>
      </c>
      <c r="V262" s="353">
        <f t="shared" si="153"/>
        <v>0</v>
      </c>
      <c r="W262" s="353"/>
      <c r="X262" s="353">
        <f>X263+X264</f>
        <v>371877.22</v>
      </c>
      <c r="Y262" s="301"/>
      <c r="Z262" s="288"/>
      <c r="AA262" s="316"/>
      <c r="AB262" s="395"/>
      <c r="AC262" s="316"/>
    </row>
    <row r="263" spans="1:29" s="316" customFormat="1" ht="28.5" customHeight="1" x14ac:dyDescent="0.2">
      <c r="A263" s="60" t="s">
        <v>212</v>
      </c>
      <c r="B263" s="454" t="s">
        <v>130</v>
      </c>
      <c r="C263" s="169" t="s">
        <v>208</v>
      </c>
      <c r="D263" s="169" t="s">
        <v>444</v>
      </c>
      <c r="E263" s="185" t="s">
        <v>46</v>
      </c>
      <c r="F263" s="169" t="s">
        <v>51</v>
      </c>
      <c r="G263" s="169" t="s">
        <v>101</v>
      </c>
      <c r="H263" s="163"/>
      <c r="I263" s="163"/>
      <c r="J263" s="236"/>
      <c r="K263" s="237"/>
      <c r="L263" s="237"/>
      <c r="M263" s="237"/>
      <c r="N263" s="238"/>
      <c r="O263" s="163"/>
      <c r="P263" s="262">
        <v>371877.22</v>
      </c>
      <c r="Q263" s="163">
        <f>R263+S263+T263+U263+V263</f>
        <v>0</v>
      </c>
      <c r="R263" s="163">
        <v>0</v>
      </c>
      <c r="S263" s="315"/>
      <c r="T263" s="315"/>
      <c r="U263" s="165">
        <v>0</v>
      </c>
      <c r="V263" s="165"/>
      <c r="W263" s="165"/>
      <c r="X263" s="165">
        <f>P263+Q263</f>
        <v>371877.22</v>
      </c>
      <c r="Y263" s="301" t="s">
        <v>595</v>
      </c>
      <c r="Z263" s="288"/>
      <c r="AB263" s="332"/>
    </row>
    <row r="264" spans="1:29" ht="21" hidden="1" customHeight="1" x14ac:dyDescent="0.2">
      <c r="A264" s="60" t="s">
        <v>415</v>
      </c>
      <c r="B264" s="194" t="s">
        <v>130</v>
      </c>
      <c r="C264" s="30" t="s">
        <v>208</v>
      </c>
      <c r="D264" s="30" t="s">
        <v>266</v>
      </c>
      <c r="E264" s="62" t="s">
        <v>46</v>
      </c>
      <c r="F264" s="30" t="s">
        <v>51</v>
      </c>
      <c r="G264" s="30" t="s">
        <v>101</v>
      </c>
      <c r="H264" s="63"/>
      <c r="I264" s="63"/>
      <c r="J264" s="265"/>
      <c r="K264" s="266"/>
      <c r="L264" s="266"/>
      <c r="M264" s="266"/>
      <c r="N264" s="106"/>
      <c r="O264" s="63"/>
      <c r="P264" s="262">
        <v>0</v>
      </c>
      <c r="Q264" s="163">
        <f t="shared" ref="Q264:Q268" si="154">R264+S264+T264+U264+V264</f>
        <v>0</v>
      </c>
      <c r="R264" s="163">
        <v>0</v>
      </c>
      <c r="S264" s="163">
        <v>0</v>
      </c>
      <c r="T264" s="315"/>
      <c r="U264" s="165"/>
      <c r="V264" s="165"/>
      <c r="W264" s="165"/>
      <c r="X264" s="165">
        <f t="shared" ref="X264:X268" si="155">P264+Q264</f>
        <v>0</v>
      </c>
      <c r="Y264" s="301"/>
      <c r="Z264" s="288"/>
      <c r="AA264" s="316"/>
      <c r="AB264" s="332"/>
      <c r="AC264" s="316"/>
    </row>
    <row r="265" spans="1:29" ht="42" hidden="1" customHeight="1" x14ac:dyDescent="0.2">
      <c r="A265" s="137" t="s">
        <v>412</v>
      </c>
      <c r="B265" s="75" t="s">
        <v>130</v>
      </c>
      <c r="C265" s="43" t="s">
        <v>208</v>
      </c>
      <c r="D265" s="89" t="s">
        <v>18</v>
      </c>
      <c r="E265" s="44" t="s">
        <v>19</v>
      </c>
      <c r="F265" s="30" t="s">
        <v>58</v>
      </c>
      <c r="G265" s="30"/>
      <c r="H265" s="63">
        <f>H270</f>
        <v>50000</v>
      </c>
      <c r="I265" s="63"/>
      <c r="J265" s="265"/>
      <c r="K265" s="266"/>
      <c r="L265" s="266"/>
      <c r="M265" s="266"/>
      <c r="N265" s="106"/>
      <c r="O265" s="63"/>
      <c r="P265" s="353">
        <f>P266</f>
        <v>0</v>
      </c>
      <c r="Q265" s="163">
        <f t="shared" si="154"/>
        <v>0</v>
      </c>
      <c r="R265" s="353">
        <f t="shared" ref="R265:V265" si="156">R266</f>
        <v>0</v>
      </c>
      <c r="S265" s="353">
        <f t="shared" si="156"/>
        <v>0</v>
      </c>
      <c r="T265" s="353">
        <f t="shared" si="156"/>
        <v>0</v>
      </c>
      <c r="U265" s="353">
        <f t="shared" si="156"/>
        <v>0</v>
      </c>
      <c r="V265" s="353">
        <f t="shared" si="156"/>
        <v>0</v>
      </c>
      <c r="W265" s="353"/>
      <c r="X265" s="165">
        <f t="shared" si="155"/>
        <v>0</v>
      </c>
      <c r="Y265" s="301"/>
      <c r="Z265" s="288"/>
      <c r="AA265" s="316"/>
      <c r="AB265" s="395"/>
      <c r="AC265" s="316"/>
    </row>
    <row r="266" spans="1:29" ht="34.5" hidden="1" customHeight="1" x14ac:dyDescent="0.2">
      <c r="A266" s="53" t="s">
        <v>412</v>
      </c>
      <c r="B266" s="194" t="s">
        <v>130</v>
      </c>
      <c r="C266" s="30" t="s">
        <v>208</v>
      </c>
      <c r="D266" s="43" t="s">
        <v>446</v>
      </c>
      <c r="E266" s="62" t="s">
        <v>46</v>
      </c>
      <c r="F266" s="30" t="s">
        <v>58</v>
      </c>
      <c r="G266" s="30" t="s">
        <v>64</v>
      </c>
      <c r="H266" s="45"/>
      <c r="I266" s="45"/>
      <c r="J266" s="139"/>
      <c r="K266" s="140"/>
      <c r="L266" s="140"/>
      <c r="M266" s="140"/>
      <c r="N266" s="47"/>
      <c r="O266" s="45"/>
      <c r="P266" s="262">
        <v>0</v>
      </c>
      <c r="Q266" s="163">
        <f t="shared" si="154"/>
        <v>0</v>
      </c>
      <c r="R266" s="163"/>
      <c r="S266" s="163"/>
      <c r="T266" s="163"/>
      <c r="U266" s="163"/>
      <c r="V266" s="163"/>
      <c r="W266" s="163"/>
      <c r="X266" s="165">
        <f t="shared" si="155"/>
        <v>0</v>
      </c>
      <c r="Y266" s="301"/>
      <c r="Z266" s="288"/>
      <c r="AA266" s="316"/>
      <c r="AB266" s="332"/>
      <c r="AC266" s="316"/>
    </row>
    <row r="267" spans="1:29" ht="43.5" customHeight="1" x14ac:dyDescent="0.2">
      <c r="A267" s="137" t="s">
        <v>445</v>
      </c>
      <c r="B267" s="75" t="s">
        <v>130</v>
      </c>
      <c r="C267" s="43" t="s">
        <v>208</v>
      </c>
      <c r="D267" s="43" t="s">
        <v>446</v>
      </c>
      <c r="E267" s="44" t="s">
        <v>46</v>
      </c>
      <c r="F267" s="43" t="s">
        <v>58</v>
      </c>
      <c r="G267" s="43" t="s">
        <v>64</v>
      </c>
      <c r="H267" s="45"/>
      <c r="I267" s="45"/>
      <c r="J267" s="139"/>
      <c r="K267" s="140"/>
      <c r="L267" s="140"/>
      <c r="M267" s="140"/>
      <c r="N267" s="47"/>
      <c r="O267" s="45"/>
      <c r="P267" s="353">
        <v>0</v>
      </c>
      <c r="Q267" s="163">
        <f t="shared" si="154"/>
        <v>99000</v>
      </c>
      <c r="R267" s="315"/>
      <c r="S267" s="315"/>
      <c r="T267" s="315">
        <v>99000</v>
      </c>
      <c r="U267" s="315"/>
      <c r="V267" s="315"/>
      <c r="W267" s="315"/>
      <c r="X267" s="165">
        <f t="shared" si="155"/>
        <v>99000</v>
      </c>
      <c r="Y267" s="301"/>
      <c r="Z267" s="288"/>
      <c r="AA267" s="316"/>
      <c r="AB267" s="387"/>
      <c r="AC267" s="316"/>
    </row>
    <row r="268" spans="1:29" s="316" customFormat="1" ht="43.5" customHeight="1" x14ac:dyDescent="0.2">
      <c r="A268" s="137" t="s">
        <v>569</v>
      </c>
      <c r="B268" s="455"/>
      <c r="C268" s="170"/>
      <c r="D268" s="170" t="s">
        <v>446</v>
      </c>
      <c r="E268" s="456"/>
      <c r="F268" s="170" t="s">
        <v>51</v>
      </c>
      <c r="G268" s="170" t="s">
        <v>56</v>
      </c>
      <c r="H268" s="315"/>
      <c r="I268" s="315"/>
      <c r="J268" s="425"/>
      <c r="K268" s="457"/>
      <c r="L268" s="457"/>
      <c r="M268" s="457"/>
      <c r="N268" s="370"/>
      <c r="O268" s="315"/>
      <c r="P268" s="353">
        <v>24429558</v>
      </c>
      <c r="Q268" s="163">
        <f t="shared" si="154"/>
        <v>0</v>
      </c>
      <c r="R268" s="163">
        <v>0</v>
      </c>
      <c r="S268" s="315"/>
      <c r="T268" s="315"/>
      <c r="U268" s="315"/>
      <c r="V268" s="315"/>
      <c r="W268" s="315"/>
      <c r="X268" s="165">
        <f t="shared" si="155"/>
        <v>24429558</v>
      </c>
      <c r="Y268" s="301"/>
      <c r="Z268" s="288"/>
      <c r="AB268" s="387"/>
    </row>
    <row r="269" spans="1:29" s="145" customFormat="1" ht="38.25" hidden="1" customHeight="1" x14ac:dyDescent="0.2">
      <c r="A269" s="141" t="s">
        <v>215</v>
      </c>
      <c r="B269" s="82">
        <v>804</v>
      </c>
      <c r="C269" s="83" t="s">
        <v>216</v>
      </c>
      <c r="D269" s="83" t="s">
        <v>18</v>
      </c>
      <c r="E269" s="84" t="s">
        <v>19</v>
      </c>
      <c r="F269" s="83"/>
      <c r="G269" s="83"/>
      <c r="H269" s="142">
        <f t="shared" ref="H269:O269" si="157">H270</f>
        <v>50000</v>
      </c>
      <c r="I269" s="142">
        <f t="shared" si="157"/>
        <v>0</v>
      </c>
      <c r="J269" s="142">
        <f t="shared" si="157"/>
        <v>0</v>
      </c>
      <c r="K269" s="143">
        <f t="shared" si="157"/>
        <v>0</v>
      </c>
      <c r="L269" s="143">
        <f t="shared" si="157"/>
        <v>0</v>
      </c>
      <c r="M269" s="143">
        <f t="shared" si="157"/>
        <v>0</v>
      </c>
      <c r="N269" s="144">
        <f t="shared" si="157"/>
        <v>50000</v>
      </c>
      <c r="O269" s="142">
        <f t="shared" si="157"/>
        <v>40000</v>
      </c>
      <c r="P269" s="353">
        <f>P270+P274</f>
        <v>0</v>
      </c>
      <c r="Q269" s="353">
        <v>0</v>
      </c>
      <c r="R269" s="353">
        <f t="shared" ref="R269:V269" si="158">R270+R274</f>
        <v>0</v>
      </c>
      <c r="S269" s="353">
        <f t="shared" si="158"/>
        <v>0</v>
      </c>
      <c r="T269" s="353">
        <v>0</v>
      </c>
      <c r="U269" s="353">
        <f t="shared" si="158"/>
        <v>0</v>
      </c>
      <c r="V269" s="353">
        <f t="shared" si="158"/>
        <v>0</v>
      </c>
      <c r="W269" s="353"/>
      <c r="X269" s="353">
        <v>0</v>
      </c>
      <c r="Y269" s="384"/>
      <c r="Z269" s="323"/>
      <c r="AA269" s="324"/>
      <c r="AB269" s="395"/>
      <c r="AC269" s="324"/>
    </row>
    <row r="270" spans="1:29" ht="36.75" hidden="1" customHeight="1" x14ac:dyDescent="0.2">
      <c r="A270" s="38" t="s">
        <v>217</v>
      </c>
      <c r="B270" s="41">
        <v>804</v>
      </c>
      <c r="C270" s="8" t="s">
        <v>216</v>
      </c>
      <c r="D270" s="146" t="s">
        <v>448</v>
      </c>
      <c r="E270" s="9" t="s">
        <v>395</v>
      </c>
      <c r="F270" s="8" t="s">
        <v>44</v>
      </c>
      <c r="G270" s="8"/>
      <c r="H270" s="31">
        <v>50000</v>
      </c>
      <c r="I270" s="31">
        <f>SUM(J270:M270)</f>
        <v>0</v>
      </c>
      <c r="J270" s="31"/>
      <c r="K270" s="32"/>
      <c r="L270" s="32"/>
      <c r="M270" s="32"/>
      <c r="N270" s="33">
        <f>H270+I270</f>
        <v>50000</v>
      </c>
      <c r="O270" s="31">
        <f>50000*80%</f>
        <v>40000</v>
      </c>
      <c r="P270" s="260">
        <v>0</v>
      </c>
      <c r="Q270" s="165">
        <f>R270+S270+T270+U270+V270</f>
        <v>0</v>
      </c>
      <c r="R270" s="165">
        <v>0</v>
      </c>
      <c r="S270" s="165"/>
      <c r="T270" s="165">
        <v>0</v>
      </c>
      <c r="U270" s="165"/>
      <c r="V270" s="165"/>
      <c r="W270" s="165"/>
      <c r="X270" s="165">
        <f>P270+Q270</f>
        <v>0</v>
      </c>
      <c r="Y270" s="301"/>
      <c r="Z270" s="288"/>
      <c r="AA270" s="316"/>
      <c r="AB270" s="329"/>
      <c r="AC270" s="316"/>
    </row>
    <row r="271" spans="1:29" s="52" customFormat="1" ht="36.75" customHeight="1" x14ac:dyDescent="0.2">
      <c r="A271" s="81" t="s">
        <v>218</v>
      </c>
      <c r="B271" s="82">
        <v>804</v>
      </c>
      <c r="C271" s="83" t="s">
        <v>216</v>
      </c>
      <c r="D271" s="147" t="s">
        <v>137</v>
      </c>
      <c r="E271" s="84" t="s">
        <v>46</v>
      </c>
      <c r="F271" s="83" t="s">
        <v>58</v>
      </c>
      <c r="G271" s="83"/>
      <c r="H271" s="86">
        <f>SUM(H272:H273)</f>
        <v>0</v>
      </c>
      <c r="I271" s="86">
        <f t="shared" ref="I271:N271" si="159">SUM(I272:I273)</f>
        <v>0</v>
      </c>
      <c r="J271" s="86">
        <f t="shared" si="159"/>
        <v>0</v>
      </c>
      <c r="K271" s="86">
        <f t="shared" si="159"/>
        <v>0</v>
      </c>
      <c r="L271" s="86">
        <f t="shared" si="159"/>
        <v>0</v>
      </c>
      <c r="M271" s="86">
        <f t="shared" si="159"/>
        <v>0</v>
      </c>
      <c r="N271" s="86">
        <f t="shared" si="159"/>
        <v>0</v>
      </c>
      <c r="O271" s="86">
        <f>SUM(O272:O273)</f>
        <v>0</v>
      </c>
      <c r="P271" s="142">
        <f t="shared" ref="P271:S271" si="160">P272+P275+P274</f>
        <v>518699.69</v>
      </c>
      <c r="Q271" s="142">
        <f t="shared" si="160"/>
        <v>150000</v>
      </c>
      <c r="R271" s="142">
        <f t="shared" si="160"/>
        <v>0</v>
      </c>
      <c r="S271" s="142">
        <f t="shared" si="160"/>
        <v>0</v>
      </c>
      <c r="T271" s="142">
        <f>T272+T275+T274</f>
        <v>150000</v>
      </c>
      <c r="U271" s="142">
        <f t="shared" ref="U271:W271" si="161">U272+U275+U274</f>
        <v>0</v>
      </c>
      <c r="V271" s="142">
        <f t="shared" si="161"/>
        <v>0</v>
      </c>
      <c r="W271" s="142">
        <f t="shared" si="161"/>
        <v>0</v>
      </c>
      <c r="X271" s="142">
        <f>X272+X275+X274</f>
        <v>668699.68999999994</v>
      </c>
      <c r="Y271" s="383"/>
      <c r="Z271" s="289"/>
      <c r="AA271" s="319"/>
      <c r="AB271" s="395"/>
      <c r="AC271" s="319"/>
    </row>
    <row r="272" spans="1:29" ht="36.75" hidden="1" customHeight="1" x14ac:dyDescent="0.2">
      <c r="A272" s="38" t="s">
        <v>397</v>
      </c>
      <c r="B272" s="39"/>
      <c r="C272" s="8"/>
      <c r="D272" s="127" t="s">
        <v>137</v>
      </c>
      <c r="E272" s="9" t="s">
        <v>46</v>
      </c>
      <c r="F272" s="8" t="s">
        <v>58</v>
      </c>
      <c r="G272" s="8" t="s">
        <v>64</v>
      </c>
      <c r="H272" s="31">
        <v>0</v>
      </c>
      <c r="I272" s="31">
        <f>SUM(J272:M272)</f>
        <v>0</v>
      </c>
      <c r="J272" s="31"/>
      <c r="K272" s="32"/>
      <c r="L272" s="32"/>
      <c r="M272" s="32"/>
      <c r="N272" s="33">
        <f>H272+I272</f>
        <v>0</v>
      </c>
      <c r="O272" s="31">
        <v>0</v>
      </c>
      <c r="P272" s="260">
        <v>0</v>
      </c>
      <c r="Q272" s="165">
        <f>R272+S272+T272+U272+V272</f>
        <v>0</v>
      </c>
      <c r="R272" s="165"/>
      <c r="S272" s="165"/>
      <c r="T272" s="165"/>
      <c r="U272" s="165"/>
      <c r="V272" s="165"/>
      <c r="W272" s="165"/>
      <c r="X272" s="165">
        <f t="shared" ref="X272:X282" si="162">P272+Q272</f>
        <v>0</v>
      </c>
      <c r="Y272" s="301"/>
      <c r="Z272" s="288"/>
      <c r="AA272" s="316"/>
      <c r="AB272" s="329"/>
      <c r="AC272" s="316"/>
    </row>
    <row r="273" spans="1:29" ht="31.5" hidden="1" customHeight="1" x14ac:dyDescent="0.2">
      <c r="A273" s="38" t="s">
        <v>219</v>
      </c>
      <c r="B273" s="39"/>
      <c r="C273" s="8"/>
      <c r="D273" s="8" t="s">
        <v>220</v>
      </c>
      <c r="E273" s="9" t="s">
        <v>221</v>
      </c>
      <c r="F273" s="8" t="s">
        <v>58</v>
      </c>
      <c r="G273" s="8" t="s">
        <v>64</v>
      </c>
      <c r="H273" s="31">
        <v>0</v>
      </c>
      <c r="I273" s="31">
        <f>SUM(J273:M273)</f>
        <v>0</v>
      </c>
      <c r="J273" s="31"/>
      <c r="K273" s="32"/>
      <c r="L273" s="32">
        <v>0</v>
      </c>
      <c r="M273" s="32"/>
      <c r="N273" s="33">
        <f>H273+I273</f>
        <v>0</v>
      </c>
      <c r="O273" s="31">
        <v>0</v>
      </c>
      <c r="P273" s="260">
        <v>0</v>
      </c>
      <c r="Q273" s="165">
        <f t="shared" ref="Q273:Q274" si="163">R273+S273+T273+U273</f>
        <v>0</v>
      </c>
      <c r="R273" s="165"/>
      <c r="S273" s="165"/>
      <c r="T273" s="165"/>
      <c r="U273" s="165"/>
      <c r="V273" s="165"/>
      <c r="W273" s="165"/>
      <c r="X273" s="165">
        <f t="shared" si="162"/>
        <v>0</v>
      </c>
      <c r="Y273" s="301"/>
      <c r="Z273" s="288"/>
      <c r="AA273" s="316"/>
      <c r="AB273" s="329"/>
      <c r="AC273" s="316"/>
    </row>
    <row r="274" spans="1:29" ht="31.5" customHeight="1" x14ac:dyDescent="0.2">
      <c r="A274" s="148" t="s">
        <v>218</v>
      </c>
      <c r="B274" s="41">
        <v>804</v>
      </c>
      <c r="C274" s="8" t="s">
        <v>216</v>
      </c>
      <c r="D274" s="8" t="s">
        <v>137</v>
      </c>
      <c r="E274" s="9" t="s">
        <v>46</v>
      </c>
      <c r="F274" s="8" t="s">
        <v>58</v>
      </c>
      <c r="G274" s="8" t="s">
        <v>64</v>
      </c>
      <c r="H274" s="31"/>
      <c r="I274" s="31"/>
      <c r="J274" s="31"/>
      <c r="K274" s="32"/>
      <c r="L274" s="32"/>
      <c r="M274" s="32"/>
      <c r="N274" s="33"/>
      <c r="O274" s="31"/>
      <c r="P274" s="260">
        <v>0</v>
      </c>
      <c r="Q274" s="165">
        <f t="shared" si="163"/>
        <v>150000</v>
      </c>
      <c r="R274" s="165"/>
      <c r="S274" s="165"/>
      <c r="T274" s="165">
        <v>150000</v>
      </c>
      <c r="U274" s="165"/>
      <c r="V274" s="165"/>
      <c r="W274" s="165"/>
      <c r="X274" s="165">
        <f t="shared" si="162"/>
        <v>150000</v>
      </c>
      <c r="Y274" s="301"/>
      <c r="Z274" s="288"/>
      <c r="AA274" s="316"/>
      <c r="AB274" s="329"/>
      <c r="AC274" s="316"/>
    </row>
    <row r="275" spans="1:29" s="316" customFormat="1" ht="31.5" customHeight="1" x14ac:dyDescent="0.2">
      <c r="A275" s="121" t="s">
        <v>24</v>
      </c>
      <c r="B275" s="344"/>
      <c r="C275" s="297"/>
      <c r="D275" s="170" t="s">
        <v>137</v>
      </c>
      <c r="E275" s="456" t="s">
        <v>505</v>
      </c>
      <c r="F275" s="170" t="s">
        <v>25</v>
      </c>
      <c r="G275" s="170"/>
      <c r="H275" s="315"/>
      <c r="I275" s="315"/>
      <c r="J275" s="315"/>
      <c r="K275" s="369"/>
      <c r="L275" s="369"/>
      <c r="M275" s="369"/>
      <c r="N275" s="370"/>
      <c r="O275" s="315"/>
      <c r="P275" s="353">
        <f>P276+P280+P279+P277+P281+P278+P282</f>
        <v>518699.69</v>
      </c>
      <c r="Q275" s="353">
        <f t="shared" ref="Q275:V275" si="164">Q276+Q280+Q279+Q277+Q281+Q278+Q282</f>
        <v>0</v>
      </c>
      <c r="R275" s="353">
        <f t="shared" si="164"/>
        <v>0</v>
      </c>
      <c r="S275" s="353">
        <f t="shared" si="164"/>
        <v>0</v>
      </c>
      <c r="T275" s="353">
        <f t="shared" si="164"/>
        <v>0</v>
      </c>
      <c r="U275" s="353">
        <f t="shared" si="164"/>
        <v>0</v>
      </c>
      <c r="V275" s="353">
        <f t="shared" si="164"/>
        <v>0</v>
      </c>
      <c r="W275" s="353"/>
      <c r="X275" s="315">
        <f>P275+Q275</f>
        <v>518699.69</v>
      </c>
      <c r="Y275" s="301"/>
      <c r="Z275" s="288"/>
      <c r="AB275" s="329"/>
    </row>
    <row r="276" spans="1:29" s="316" customFormat="1" ht="31.5" customHeight="1" x14ac:dyDescent="0.2">
      <c r="A276" s="53" t="s">
        <v>26</v>
      </c>
      <c r="B276" s="344"/>
      <c r="C276" s="297"/>
      <c r="D276" s="297" t="s">
        <v>137</v>
      </c>
      <c r="E276" s="298" t="s">
        <v>281</v>
      </c>
      <c r="F276" s="297" t="s">
        <v>27</v>
      </c>
      <c r="G276" s="297"/>
      <c r="H276" s="165"/>
      <c r="I276" s="165"/>
      <c r="J276" s="165"/>
      <c r="K276" s="301"/>
      <c r="L276" s="301"/>
      <c r="M276" s="301"/>
      <c r="N276" s="293"/>
      <c r="O276" s="165"/>
      <c r="P276" s="260">
        <v>398386.86</v>
      </c>
      <c r="Q276" s="165">
        <f t="shared" ref="Q276:Q282" si="165">R276+S276+T276+U276+V276</f>
        <v>0</v>
      </c>
      <c r="R276" s="165"/>
      <c r="S276" s="165"/>
      <c r="T276" s="165"/>
      <c r="U276" s="165"/>
      <c r="V276" s="165"/>
      <c r="W276" s="165"/>
      <c r="X276" s="165">
        <f t="shared" si="162"/>
        <v>398386.86</v>
      </c>
      <c r="Y276" s="301"/>
      <c r="Z276" s="288"/>
      <c r="AB276" s="329"/>
    </row>
    <row r="277" spans="1:29" s="316" customFormat="1" ht="31.5" hidden="1" customHeight="1" x14ac:dyDescent="0.2">
      <c r="A277" s="53" t="s">
        <v>439</v>
      </c>
      <c r="B277" s="344"/>
      <c r="C277" s="297"/>
      <c r="D277" s="297" t="s">
        <v>519</v>
      </c>
      <c r="E277" s="298" t="s">
        <v>281</v>
      </c>
      <c r="F277" s="297" t="s">
        <v>27</v>
      </c>
      <c r="G277" s="297"/>
      <c r="H277" s="165"/>
      <c r="I277" s="165"/>
      <c r="J277" s="165"/>
      <c r="K277" s="301"/>
      <c r="L277" s="301"/>
      <c r="M277" s="301"/>
      <c r="N277" s="293"/>
      <c r="O277" s="165"/>
      <c r="P277" s="260">
        <v>0</v>
      </c>
      <c r="Q277" s="165">
        <f t="shared" si="165"/>
        <v>0</v>
      </c>
      <c r="R277" s="165"/>
      <c r="S277" s="165"/>
      <c r="T277" s="165"/>
      <c r="U277" s="165"/>
      <c r="V277" s="165">
        <v>0</v>
      </c>
      <c r="W277" s="165"/>
      <c r="X277" s="165">
        <f t="shared" si="162"/>
        <v>0</v>
      </c>
      <c r="Y277" s="301"/>
      <c r="Z277" s="288"/>
      <c r="AB277" s="329"/>
    </row>
    <row r="278" spans="1:29" s="316" customFormat="1" ht="31.5" hidden="1" customHeight="1" x14ac:dyDescent="0.2">
      <c r="A278" s="53" t="s">
        <v>26</v>
      </c>
      <c r="B278" s="344"/>
      <c r="C278" s="297"/>
      <c r="D278" s="297" t="s">
        <v>520</v>
      </c>
      <c r="E278" s="298" t="s">
        <v>281</v>
      </c>
      <c r="F278" s="297" t="s">
        <v>27</v>
      </c>
      <c r="G278" s="297"/>
      <c r="H278" s="165"/>
      <c r="I278" s="165"/>
      <c r="J278" s="165"/>
      <c r="K278" s="301"/>
      <c r="L278" s="301"/>
      <c r="M278" s="301"/>
      <c r="N278" s="293"/>
      <c r="O278" s="165"/>
      <c r="P278" s="260">
        <v>0</v>
      </c>
      <c r="Q278" s="165">
        <f t="shared" si="165"/>
        <v>0</v>
      </c>
      <c r="R278" s="165">
        <v>0</v>
      </c>
      <c r="S278" s="165"/>
      <c r="T278" s="165"/>
      <c r="U278" s="165"/>
      <c r="V278" s="165"/>
      <c r="W278" s="165"/>
      <c r="X278" s="165">
        <f t="shared" si="162"/>
        <v>0</v>
      </c>
      <c r="Y278" s="301"/>
      <c r="Z278" s="288"/>
      <c r="AB278" s="329"/>
    </row>
    <row r="279" spans="1:29" s="316" customFormat="1" ht="31.5" hidden="1" customHeight="1" x14ac:dyDescent="0.2">
      <c r="A279" s="164" t="s">
        <v>39</v>
      </c>
      <c r="B279" s="344"/>
      <c r="C279" s="297"/>
      <c r="D279" s="297" t="s">
        <v>137</v>
      </c>
      <c r="E279" s="298" t="s">
        <v>282</v>
      </c>
      <c r="F279" s="297" t="s">
        <v>85</v>
      </c>
      <c r="G279" s="297" t="s">
        <v>40</v>
      </c>
      <c r="H279" s="165"/>
      <c r="I279" s="165"/>
      <c r="J279" s="165"/>
      <c r="K279" s="301"/>
      <c r="L279" s="301"/>
      <c r="M279" s="301"/>
      <c r="N279" s="293"/>
      <c r="O279" s="165"/>
      <c r="P279" s="260">
        <v>0</v>
      </c>
      <c r="Q279" s="165">
        <f t="shared" si="165"/>
        <v>0</v>
      </c>
      <c r="R279" s="165">
        <v>0</v>
      </c>
      <c r="S279" s="165"/>
      <c r="T279" s="165"/>
      <c r="U279" s="165"/>
      <c r="V279" s="165"/>
      <c r="W279" s="165"/>
      <c r="X279" s="165">
        <f t="shared" si="162"/>
        <v>0</v>
      </c>
      <c r="Y279" s="301"/>
      <c r="Z279" s="288"/>
      <c r="AB279" s="329"/>
    </row>
    <row r="280" spans="1:29" s="316" customFormat="1" ht="31.5" customHeight="1" x14ac:dyDescent="0.2">
      <c r="A280" s="148" t="s">
        <v>28</v>
      </c>
      <c r="B280" s="344"/>
      <c r="C280" s="297"/>
      <c r="D280" s="297" t="s">
        <v>137</v>
      </c>
      <c r="E280" s="298" t="s">
        <v>284</v>
      </c>
      <c r="F280" s="297" t="s">
        <v>30</v>
      </c>
      <c r="G280" s="297"/>
      <c r="H280" s="165"/>
      <c r="I280" s="165"/>
      <c r="J280" s="165"/>
      <c r="K280" s="301"/>
      <c r="L280" s="301"/>
      <c r="M280" s="301"/>
      <c r="N280" s="293"/>
      <c r="O280" s="165"/>
      <c r="P280" s="260">
        <v>120312.83</v>
      </c>
      <c r="Q280" s="165">
        <f t="shared" si="165"/>
        <v>0</v>
      </c>
      <c r="R280" s="165"/>
      <c r="S280" s="165"/>
      <c r="T280" s="165"/>
      <c r="U280" s="165"/>
      <c r="V280" s="165"/>
      <c r="W280" s="165"/>
      <c r="X280" s="165">
        <f t="shared" si="162"/>
        <v>120312.83</v>
      </c>
      <c r="Y280" s="301"/>
      <c r="Z280" s="288"/>
      <c r="AB280" s="329"/>
    </row>
    <row r="281" spans="1:29" ht="31.5" hidden="1" customHeight="1" x14ac:dyDescent="0.2">
      <c r="A281" s="148" t="s">
        <v>441</v>
      </c>
      <c r="B281" s="41"/>
      <c r="C281" s="8"/>
      <c r="D281" s="8" t="s">
        <v>519</v>
      </c>
      <c r="E281" s="9" t="s">
        <v>29</v>
      </c>
      <c r="F281" s="8" t="s">
        <v>30</v>
      </c>
      <c r="G281" s="8"/>
      <c r="H281" s="31"/>
      <c r="I281" s="31"/>
      <c r="J281" s="31"/>
      <c r="K281" s="32"/>
      <c r="L281" s="32"/>
      <c r="M281" s="32"/>
      <c r="N281" s="33"/>
      <c r="O281" s="31"/>
      <c r="P281" s="260">
        <v>0</v>
      </c>
      <c r="Q281" s="165">
        <f t="shared" si="165"/>
        <v>0</v>
      </c>
      <c r="R281" s="165"/>
      <c r="S281" s="165"/>
      <c r="T281" s="165"/>
      <c r="U281" s="165"/>
      <c r="V281" s="165">
        <v>0</v>
      </c>
      <c r="W281" s="165"/>
      <c r="X281" s="165">
        <f t="shared" si="162"/>
        <v>0</v>
      </c>
      <c r="Y281" s="301"/>
      <c r="Z281" s="288"/>
      <c r="AA281" s="316"/>
      <c r="AB281" s="329"/>
      <c r="AC281" s="316"/>
    </row>
    <row r="282" spans="1:29" ht="31.5" hidden="1" customHeight="1" x14ac:dyDescent="0.2">
      <c r="A282" s="148" t="s">
        <v>28</v>
      </c>
      <c r="B282" s="41"/>
      <c r="C282" s="8"/>
      <c r="D282" s="8" t="s">
        <v>520</v>
      </c>
      <c r="E282" s="9" t="s">
        <v>284</v>
      </c>
      <c r="F282" s="8" t="s">
        <v>30</v>
      </c>
      <c r="G282" s="8"/>
      <c r="H282" s="31"/>
      <c r="I282" s="31"/>
      <c r="J282" s="31"/>
      <c r="K282" s="32"/>
      <c r="L282" s="32"/>
      <c r="M282" s="32"/>
      <c r="N282" s="33"/>
      <c r="O282" s="31"/>
      <c r="P282" s="260">
        <v>0</v>
      </c>
      <c r="Q282" s="165">
        <f t="shared" si="165"/>
        <v>0</v>
      </c>
      <c r="R282" s="165">
        <v>0</v>
      </c>
      <c r="S282" s="165"/>
      <c r="T282" s="165"/>
      <c r="U282" s="165"/>
      <c r="V282" s="165"/>
      <c r="W282" s="165"/>
      <c r="X282" s="165">
        <f t="shared" si="162"/>
        <v>0</v>
      </c>
      <c r="Y282" s="301"/>
      <c r="Z282" s="288"/>
      <c r="AA282" s="316"/>
      <c r="AB282" s="329"/>
      <c r="AC282" s="316"/>
    </row>
    <row r="283" spans="1:29" ht="15" customHeight="1" x14ac:dyDescent="0.2">
      <c r="A283" s="149" t="s">
        <v>222</v>
      </c>
      <c r="B283" s="150"/>
      <c r="C283" s="13" t="s">
        <v>223</v>
      </c>
      <c r="D283" s="112" t="s">
        <v>18</v>
      </c>
      <c r="E283" s="14" t="s">
        <v>19</v>
      </c>
      <c r="F283" s="13"/>
      <c r="G283" s="13"/>
      <c r="H283" s="15">
        <f t="shared" ref="H283:V283" si="166">H284+H373</f>
        <v>12504702.07</v>
      </c>
      <c r="I283" s="15" t="e">
        <f t="shared" si="166"/>
        <v>#REF!</v>
      </c>
      <c r="J283" s="15" t="e">
        <f t="shared" si="166"/>
        <v>#REF!</v>
      </c>
      <c r="K283" s="107" t="e">
        <f t="shared" si="166"/>
        <v>#REF!</v>
      </c>
      <c r="L283" s="107" t="e">
        <f t="shared" si="166"/>
        <v>#REF!</v>
      </c>
      <c r="M283" s="107" t="e">
        <f t="shared" si="166"/>
        <v>#REF!</v>
      </c>
      <c r="N283" s="108" t="e">
        <f t="shared" si="166"/>
        <v>#REF!</v>
      </c>
      <c r="O283" s="15">
        <f t="shared" si="166"/>
        <v>8214751.6940000001</v>
      </c>
      <c r="P283" s="256">
        <f t="shared" si="166"/>
        <v>9016931.9400000013</v>
      </c>
      <c r="Q283" s="256">
        <f t="shared" si="166"/>
        <v>11617063.369999999</v>
      </c>
      <c r="R283" s="256">
        <f t="shared" si="166"/>
        <v>0</v>
      </c>
      <c r="S283" s="256">
        <f t="shared" si="166"/>
        <v>0</v>
      </c>
      <c r="T283" s="256">
        <f t="shared" si="166"/>
        <v>11584159.379999999</v>
      </c>
      <c r="U283" s="256">
        <f t="shared" si="166"/>
        <v>32903.990000000005</v>
      </c>
      <c r="V283" s="256">
        <f t="shared" si="166"/>
        <v>0</v>
      </c>
      <c r="W283" s="256"/>
      <c r="X283" s="256">
        <f>X284+X373</f>
        <v>20633995.309999999</v>
      </c>
      <c r="Y283" s="379"/>
      <c r="Z283" s="288"/>
      <c r="AA283" s="316"/>
      <c r="AB283" s="385"/>
      <c r="AC283" s="316"/>
    </row>
    <row r="284" spans="1:29" ht="12.75" customHeight="1" x14ac:dyDescent="0.2">
      <c r="A284" s="34" t="s">
        <v>224</v>
      </c>
      <c r="B284" s="35"/>
      <c r="C284" s="18" t="s">
        <v>223</v>
      </c>
      <c r="D284" s="83" t="s">
        <v>18</v>
      </c>
      <c r="E284" s="19" t="s">
        <v>19</v>
      </c>
      <c r="F284" s="18"/>
      <c r="G284" s="18"/>
      <c r="H284" s="20">
        <f>H285+H325</f>
        <v>8273916.8599999994</v>
      </c>
      <c r="I284" s="20" t="e">
        <f>I285+I325+#REF!+#REF!+#REF!+#REF!+#REF!</f>
        <v>#REF!</v>
      </c>
      <c r="J284" s="20" t="e">
        <f>J285+J325+#REF!+#REF!+#REF!+#REF!+#REF!</f>
        <v>#REF!</v>
      </c>
      <c r="K284" s="20" t="e">
        <f>K285+K325+#REF!+#REF!+#REF!+#REF!+#REF!</f>
        <v>#REF!</v>
      </c>
      <c r="L284" s="20" t="e">
        <f>L285+L325+#REF!+#REF!+#REF!+#REF!+#REF!</f>
        <v>#REF!</v>
      </c>
      <c r="M284" s="20" t="e">
        <f>M285+M325+#REF!+#REF!+#REF!+#REF!+#REF!</f>
        <v>#REF!</v>
      </c>
      <c r="N284" s="20" t="e">
        <f>N285+N325+#REF!+#REF!+#REF!+#REF!+#REF!</f>
        <v>#REF!</v>
      </c>
      <c r="O284" s="20">
        <f t="shared" ref="O284:V284" si="167">O285+O325</f>
        <v>4059076.4839999997</v>
      </c>
      <c r="P284" s="257">
        <f t="shared" si="167"/>
        <v>4423379.28</v>
      </c>
      <c r="Q284" s="257">
        <f t="shared" si="167"/>
        <v>11616063.369999999</v>
      </c>
      <c r="R284" s="257">
        <f t="shared" si="167"/>
        <v>0</v>
      </c>
      <c r="S284" s="257">
        <f t="shared" si="167"/>
        <v>0</v>
      </c>
      <c r="T284" s="257">
        <f t="shared" si="167"/>
        <v>11584159.379999999</v>
      </c>
      <c r="U284" s="257">
        <f t="shared" si="167"/>
        <v>31903.99</v>
      </c>
      <c r="V284" s="257">
        <f t="shared" si="167"/>
        <v>0</v>
      </c>
      <c r="W284" s="257"/>
      <c r="X284" s="257">
        <f>X285+X325</f>
        <v>16039442.649999999</v>
      </c>
      <c r="Y284" s="382"/>
      <c r="Z284" s="288"/>
      <c r="AA284" s="316"/>
      <c r="AB284" s="385"/>
      <c r="AC284" s="316"/>
    </row>
    <row r="285" spans="1:29" ht="12.75" customHeight="1" x14ac:dyDescent="0.2">
      <c r="A285" s="34" t="s">
        <v>41</v>
      </c>
      <c r="B285" s="35"/>
      <c r="C285" s="18" t="s">
        <v>225</v>
      </c>
      <c r="D285" s="83" t="s">
        <v>18</v>
      </c>
      <c r="E285" s="19" t="s">
        <v>19</v>
      </c>
      <c r="F285" s="18" t="s">
        <v>42</v>
      </c>
      <c r="G285" s="18"/>
      <c r="H285" s="20">
        <f t="shared" ref="H285:O285" si="168">H286+H298+H300+H309</f>
        <v>639714.98</v>
      </c>
      <c r="I285" s="20">
        <f t="shared" si="168"/>
        <v>30298686.759999998</v>
      </c>
      <c r="J285" s="20">
        <f t="shared" si="168"/>
        <v>0</v>
      </c>
      <c r="K285" s="20">
        <f t="shared" si="168"/>
        <v>25089156.629999999</v>
      </c>
      <c r="L285" s="20">
        <f t="shared" si="168"/>
        <v>4612929.17</v>
      </c>
      <c r="M285" s="20">
        <f t="shared" si="168"/>
        <v>596600.96</v>
      </c>
      <c r="N285" s="20">
        <f t="shared" si="168"/>
        <v>30938401.739999998</v>
      </c>
      <c r="O285" s="20">
        <f t="shared" si="168"/>
        <v>639714.98</v>
      </c>
      <c r="P285" s="257">
        <f>P286+P298+P309+P321+P323</f>
        <v>750000</v>
      </c>
      <c r="Q285" s="257">
        <f>Q286+Q298+Q309+Q321+Q323</f>
        <v>8396289.379999999</v>
      </c>
      <c r="R285" s="257">
        <f>R286+R298+R309+R321+R323</f>
        <v>0</v>
      </c>
      <c r="S285" s="257">
        <f t="shared" ref="S285:W285" si="169">S286+S298+S309+S321+S323</f>
        <v>0</v>
      </c>
      <c r="T285" s="257">
        <f>T286+T298+T309+T321+T323</f>
        <v>8396289.379999999</v>
      </c>
      <c r="U285" s="257">
        <f t="shared" si="169"/>
        <v>0</v>
      </c>
      <c r="V285" s="257">
        <f t="shared" si="169"/>
        <v>0</v>
      </c>
      <c r="W285" s="257">
        <f t="shared" si="169"/>
        <v>0</v>
      </c>
      <c r="X285" s="257">
        <f>X286+X298+X309+X321+X323</f>
        <v>9146289.379999999</v>
      </c>
      <c r="Y285" s="382"/>
      <c r="Z285" s="288"/>
      <c r="AA285" s="316"/>
      <c r="AB285" s="385"/>
      <c r="AC285" s="316"/>
    </row>
    <row r="286" spans="1:29" ht="12.75" customHeight="1" x14ac:dyDescent="0.2">
      <c r="A286" s="23" t="s">
        <v>50</v>
      </c>
      <c r="B286" s="24"/>
      <c r="C286" s="25" t="s">
        <v>225</v>
      </c>
      <c r="D286" s="25" t="s">
        <v>226</v>
      </c>
      <c r="E286" s="26" t="s">
        <v>46</v>
      </c>
      <c r="F286" s="25" t="s">
        <v>51</v>
      </c>
      <c r="G286" s="25"/>
      <c r="H286" s="27">
        <f t="shared" ref="H286:O286" si="170">SUM(H287:H295)</f>
        <v>639714.98</v>
      </c>
      <c r="I286" s="27">
        <f t="shared" si="170"/>
        <v>5209530.13</v>
      </c>
      <c r="J286" s="27">
        <f t="shared" si="170"/>
        <v>0</v>
      </c>
      <c r="K286" s="27">
        <f t="shared" si="170"/>
        <v>0</v>
      </c>
      <c r="L286" s="27">
        <f t="shared" si="170"/>
        <v>4612929.17</v>
      </c>
      <c r="M286" s="27">
        <f t="shared" si="170"/>
        <v>596600.96</v>
      </c>
      <c r="N286" s="27">
        <f t="shared" si="170"/>
        <v>5849245.1099999994</v>
      </c>
      <c r="O286" s="27">
        <f t="shared" si="170"/>
        <v>639714.98</v>
      </c>
      <c r="P286" s="258">
        <f>P292+P293+P295+P302+P303+P304+P305+P306+P294+P289+P297+P291+P296</f>
        <v>750000</v>
      </c>
      <c r="Q286" s="258">
        <f>Q292+Q293+Q295+Q302+Q303+Q304+Q305+Q306+Q294+Q289+Q297+Q291+Q296</f>
        <v>8396289.379999999</v>
      </c>
      <c r="R286" s="258">
        <f t="shared" ref="R286:W286" si="171">R292+R293+R295+R302+R303+R304+R305+R306+R294+R289+R297+R291+R296</f>
        <v>0</v>
      </c>
      <c r="S286" s="258">
        <f t="shared" si="171"/>
        <v>0</v>
      </c>
      <c r="T286" s="258">
        <f>T292+T293+T295+T302+T303+T304+T305+T306+T294+T289+T297+T291+T296</f>
        <v>8396289.379999999</v>
      </c>
      <c r="U286" s="258">
        <f t="shared" si="171"/>
        <v>0</v>
      </c>
      <c r="V286" s="258">
        <f t="shared" si="171"/>
        <v>0</v>
      </c>
      <c r="W286" s="258">
        <f t="shared" si="171"/>
        <v>0</v>
      </c>
      <c r="X286" s="258">
        <f>X292+X293+X295+X302+X303+X304+X305+X306+X294+X289+X297+X291+X296</f>
        <v>9146289.379999999</v>
      </c>
      <c r="Y286" s="301"/>
      <c r="Z286" s="288"/>
      <c r="AA286" s="316"/>
      <c r="AB286" s="385"/>
      <c r="AC286" s="316"/>
    </row>
    <row r="287" spans="1:29" ht="26.25" hidden="1" customHeight="1" x14ac:dyDescent="0.2">
      <c r="A287" s="151" t="s">
        <v>227</v>
      </c>
      <c r="B287" s="24"/>
      <c r="C287" s="30"/>
      <c r="D287" s="30" t="s">
        <v>228</v>
      </c>
      <c r="E287" s="62" t="s">
        <v>46</v>
      </c>
      <c r="F287" s="30" t="s">
        <v>51</v>
      </c>
      <c r="G287" s="30" t="s">
        <v>56</v>
      </c>
      <c r="H287" s="63">
        <v>0</v>
      </c>
      <c r="I287" s="31">
        <f t="shared" ref="I287:I295" si="172">SUM(J287:M287)</f>
        <v>0</v>
      </c>
      <c r="J287" s="63"/>
      <c r="K287" s="64"/>
      <c r="L287" s="64">
        <v>0</v>
      </c>
      <c r="M287" s="64"/>
      <c r="N287" s="33">
        <f t="shared" ref="N287:N295" si="173">H287+I287</f>
        <v>0</v>
      </c>
      <c r="O287" s="63">
        <v>0</v>
      </c>
      <c r="P287" s="262">
        <v>0</v>
      </c>
      <c r="Q287" s="163"/>
      <c r="R287" s="163"/>
      <c r="S287" s="163"/>
      <c r="T287" s="163"/>
      <c r="U287" s="163"/>
      <c r="V287" s="163"/>
      <c r="W287" s="163"/>
      <c r="X287" s="165"/>
      <c r="Y287" s="301"/>
      <c r="Z287" s="288"/>
      <c r="AA287" s="316"/>
      <c r="AB287" s="332"/>
      <c r="AC287" s="316"/>
    </row>
    <row r="288" spans="1:29" ht="27.75" hidden="1" customHeight="1" x14ac:dyDescent="0.2">
      <c r="A288" s="151" t="s">
        <v>229</v>
      </c>
      <c r="B288" s="61"/>
      <c r="C288" s="30"/>
      <c r="D288" s="30" t="s">
        <v>228</v>
      </c>
      <c r="E288" s="62" t="s">
        <v>46</v>
      </c>
      <c r="F288" s="30" t="s">
        <v>51</v>
      </c>
      <c r="G288" s="30" t="s">
        <v>56</v>
      </c>
      <c r="H288" s="63">
        <v>0</v>
      </c>
      <c r="I288" s="31">
        <f t="shared" si="172"/>
        <v>0</v>
      </c>
      <c r="J288" s="63">
        <v>0</v>
      </c>
      <c r="K288" s="64"/>
      <c r="L288" s="64">
        <v>0</v>
      </c>
      <c r="M288" s="64">
        <v>0</v>
      </c>
      <c r="N288" s="33">
        <f t="shared" si="173"/>
        <v>0</v>
      </c>
      <c r="O288" s="63">
        <v>0</v>
      </c>
      <c r="P288" s="262">
        <v>0</v>
      </c>
      <c r="Q288" s="163"/>
      <c r="R288" s="163"/>
      <c r="S288" s="163"/>
      <c r="T288" s="163"/>
      <c r="U288" s="163"/>
      <c r="V288" s="163"/>
      <c r="W288" s="163"/>
      <c r="X288" s="165"/>
      <c r="Y288" s="301"/>
      <c r="Z288" s="288"/>
      <c r="AA288" s="316"/>
      <c r="AB288" s="332"/>
      <c r="AC288" s="316"/>
    </row>
    <row r="289" spans="1:29" ht="51.75" hidden="1" customHeight="1" x14ac:dyDescent="0.2">
      <c r="A289" s="151" t="s">
        <v>419</v>
      </c>
      <c r="B289" s="61"/>
      <c r="C289" s="30"/>
      <c r="D289" s="30" t="s">
        <v>233</v>
      </c>
      <c r="E289" s="62" t="s">
        <v>140</v>
      </c>
      <c r="F289" s="30" t="s">
        <v>51</v>
      </c>
      <c r="G289" s="30" t="s">
        <v>56</v>
      </c>
      <c r="H289" s="63">
        <v>0</v>
      </c>
      <c r="I289" s="31">
        <f t="shared" si="172"/>
        <v>0</v>
      </c>
      <c r="J289" s="63">
        <v>0</v>
      </c>
      <c r="K289" s="64"/>
      <c r="L289" s="64">
        <v>0</v>
      </c>
      <c r="M289" s="64">
        <v>0</v>
      </c>
      <c r="N289" s="33">
        <f t="shared" si="173"/>
        <v>0</v>
      </c>
      <c r="O289" s="63">
        <v>0</v>
      </c>
      <c r="P289" s="262">
        <v>0</v>
      </c>
      <c r="Q289" s="163">
        <f t="shared" ref="Q289:Q294" si="174">R289+S289+T289+U289</f>
        <v>0</v>
      </c>
      <c r="R289" s="163"/>
      <c r="S289" s="163"/>
      <c r="T289" s="163">
        <v>0</v>
      </c>
      <c r="U289" s="163"/>
      <c r="V289" s="163"/>
      <c r="W289" s="163"/>
      <c r="X289" s="165">
        <f t="shared" ref="X289:X297" si="175">P289+Q289</f>
        <v>0</v>
      </c>
      <c r="Y289" s="301"/>
      <c r="Z289" s="288"/>
      <c r="AA289" s="316"/>
      <c r="AB289" s="332"/>
      <c r="AC289" s="316"/>
    </row>
    <row r="290" spans="1:29" ht="26.25" hidden="1" customHeight="1" x14ac:dyDescent="0.2">
      <c r="A290" s="151" t="s">
        <v>420</v>
      </c>
      <c r="B290" s="61"/>
      <c r="C290" s="30"/>
      <c r="D290" s="30" t="s">
        <v>228</v>
      </c>
      <c r="E290" s="62" t="s">
        <v>140</v>
      </c>
      <c r="F290" s="30" t="s">
        <v>51</v>
      </c>
      <c r="G290" s="30" t="s">
        <v>56</v>
      </c>
      <c r="H290" s="63">
        <v>0</v>
      </c>
      <c r="I290" s="31">
        <f t="shared" si="172"/>
        <v>0</v>
      </c>
      <c r="J290" s="63">
        <v>0</v>
      </c>
      <c r="K290" s="64">
        <v>0</v>
      </c>
      <c r="L290" s="64">
        <v>0</v>
      </c>
      <c r="M290" s="64">
        <v>0</v>
      </c>
      <c r="N290" s="33">
        <f t="shared" si="173"/>
        <v>0</v>
      </c>
      <c r="O290" s="63">
        <v>0</v>
      </c>
      <c r="P290" s="262">
        <v>0</v>
      </c>
      <c r="Q290" s="163">
        <f t="shared" si="174"/>
        <v>0</v>
      </c>
      <c r="R290" s="163"/>
      <c r="S290" s="163"/>
      <c r="T290" s="163"/>
      <c r="U290" s="163"/>
      <c r="V290" s="163"/>
      <c r="W290" s="163"/>
      <c r="X290" s="165">
        <f t="shared" si="175"/>
        <v>0</v>
      </c>
      <c r="Y290" s="301"/>
      <c r="Z290" s="288"/>
      <c r="AA290" s="316"/>
      <c r="AB290" s="332"/>
      <c r="AC290" s="316"/>
    </row>
    <row r="291" spans="1:29" ht="42" hidden="1" customHeight="1" x14ac:dyDescent="0.2">
      <c r="A291" s="151" t="s">
        <v>419</v>
      </c>
      <c r="B291" s="61"/>
      <c r="C291" s="30"/>
      <c r="D291" s="30" t="s">
        <v>233</v>
      </c>
      <c r="E291" s="62" t="s">
        <v>46</v>
      </c>
      <c r="F291" s="30" t="s">
        <v>51</v>
      </c>
      <c r="G291" s="30" t="s">
        <v>56</v>
      </c>
      <c r="H291" s="63">
        <v>0</v>
      </c>
      <c r="I291" s="31">
        <f t="shared" si="172"/>
        <v>0</v>
      </c>
      <c r="J291" s="63">
        <v>0</v>
      </c>
      <c r="K291" s="64">
        <v>0</v>
      </c>
      <c r="L291" s="64">
        <v>0</v>
      </c>
      <c r="M291" s="64">
        <v>0</v>
      </c>
      <c r="N291" s="33">
        <f t="shared" si="173"/>
        <v>0</v>
      </c>
      <c r="O291" s="63">
        <v>0</v>
      </c>
      <c r="P291" s="262">
        <v>0</v>
      </c>
      <c r="Q291" s="163">
        <f t="shared" si="174"/>
        <v>0</v>
      </c>
      <c r="R291" s="163"/>
      <c r="S291" s="163"/>
      <c r="T291" s="163">
        <v>0</v>
      </c>
      <c r="U291" s="163"/>
      <c r="V291" s="163"/>
      <c r="W291" s="163"/>
      <c r="X291" s="165">
        <f t="shared" si="175"/>
        <v>0</v>
      </c>
      <c r="Y291" s="301"/>
      <c r="Z291" s="288"/>
      <c r="AA291" s="316"/>
      <c r="AB291" s="332"/>
      <c r="AC291" s="316"/>
    </row>
    <row r="292" spans="1:29" ht="25.5" hidden="1" customHeight="1" x14ac:dyDescent="0.2">
      <c r="A292" s="80" t="s">
        <v>389</v>
      </c>
      <c r="B292" s="61"/>
      <c r="C292" s="30"/>
      <c r="D292" s="30" t="s">
        <v>233</v>
      </c>
      <c r="E292" s="62" t="s">
        <v>46</v>
      </c>
      <c r="F292" s="30" t="s">
        <v>51</v>
      </c>
      <c r="G292" s="30" t="s">
        <v>56</v>
      </c>
      <c r="H292" s="63">
        <v>0</v>
      </c>
      <c r="I292" s="31">
        <f t="shared" si="172"/>
        <v>0</v>
      </c>
      <c r="J292" s="63">
        <v>0</v>
      </c>
      <c r="K292" s="64">
        <v>0</v>
      </c>
      <c r="L292" s="64">
        <v>0</v>
      </c>
      <c r="M292" s="64">
        <v>0</v>
      </c>
      <c r="N292" s="33">
        <f t="shared" si="173"/>
        <v>0</v>
      </c>
      <c r="O292" s="63">
        <v>0</v>
      </c>
      <c r="P292" s="262">
        <v>0</v>
      </c>
      <c r="Q292" s="163">
        <f t="shared" si="174"/>
        <v>0</v>
      </c>
      <c r="R292" s="163"/>
      <c r="S292" s="163"/>
      <c r="T292" s="163">
        <v>0</v>
      </c>
      <c r="U292" s="163"/>
      <c r="V292" s="163"/>
      <c r="W292" s="163"/>
      <c r="X292" s="165">
        <f t="shared" si="175"/>
        <v>0</v>
      </c>
      <c r="Y292" s="301"/>
      <c r="Z292" s="288"/>
      <c r="AA292" s="316"/>
      <c r="AB292" s="332"/>
      <c r="AC292" s="316"/>
    </row>
    <row r="293" spans="1:29" ht="42" hidden="1" customHeight="1" x14ac:dyDescent="0.2">
      <c r="A293" s="152" t="s">
        <v>390</v>
      </c>
      <c r="B293" s="153"/>
      <c r="C293" s="146"/>
      <c r="D293" s="156" t="s">
        <v>233</v>
      </c>
      <c r="E293" s="154" t="s">
        <v>140</v>
      </c>
      <c r="F293" s="146" t="s">
        <v>51</v>
      </c>
      <c r="G293" s="146" t="s">
        <v>56</v>
      </c>
      <c r="H293" s="63">
        <v>0</v>
      </c>
      <c r="I293" s="31">
        <f t="shared" si="172"/>
        <v>4612929.17</v>
      </c>
      <c r="J293" s="63"/>
      <c r="K293" s="64"/>
      <c r="L293" s="64">
        <v>4612929.17</v>
      </c>
      <c r="M293" s="64"/>
      <c r="N293" s="33">
        <f t="shared" si="173"/>
        <v>4612929.17</v>
      </c>
      <c r="O293" s="63">
        <v>0</v>
      </c>
      <c r="P293" s="262">
        <v>0</v>
      </c>
      <c r="Q293" s="163">
        <f t="shared" si="174"/>
        <v>0</v>
      </c>
      <c r="R293" s="163">
        <v>0</v>
      </c>
      <c r="S293" s="163"/>
      <c r="T293" s="163"/>
      <c r="U293" s="163"/>
      <c r="V293" s="163"/>
      <c r="W293" s="163"/>
      <c r="X293" s="165">
        <f t="shared" si="175"/>
        <v>0</v>
      </c>
      <c r="Y293" s="301"/>
      <c r="Z293" s="288"/>
      <c r="AA293" s="316"/>
      <c r="AB293" s="332"/>
      <c r="AC293" s="316"/>
    </row>
    <row r="294" spans="1:29" ht="42" hidden="1" customHeight="1" x14ac:dyDescent="0.2">
      <c r="A294" s="152" t="s">
        <v>234</v>
      </c>
      <c r="B294" s="153"/>
      <c r="C294" s="146"/>
      <c r="D294" s="156" t="s">
        <v>233</v>
      </c>
      <c r="E294" s="154" t="s">
        <v>140</v>
      </c>
      <c r="F294" s="146" t="s">
        <v>51</v>
      </c>
      <c r="G294" s="146" t="s">
        <v>56</v>
      </c>
      <c r="H294" s="63"/>
      <c r="I294" s="31"/>
      <c r="J294" s="63"/>
      <c r="K294" s="64"/>
      <c r="L294" s="64"/>
      <c r="M294" s="64"/>
      <c r="N294" s="33"/>
      <c r="O294" s="63"/>
      <c r="P294" s="262">
        <v>0</v>
      </c>
      <c r="Q294" s="163">
        <f t="shared" si="174"/>
        <v>0</v>
      </c>
      <c r="R294" s="163"/>
      <c r="S294" s="163"/>
      <c r="T294" s="163"/>
      <c r="U294" s="163"/>
      <c r="V294" s="163"/>
      <c r="W294" s="163"/>
      <c r="X294" s="165">
        <f t="shared" si="175"/>
        <v>0</v>
      </c>
      <c r="Y294" s="301"/>
      <c r="Z294" s="288"/>
      <c r="AA294" s="316"/>
      <c r="AB294" s="332"/>
      <c r="AC294" s="316"/>
    </row>
    <row r="295" spans="1:29" s="318" customFormat="1" ht="66.75" customHeight="1" x14ac:dyDescent="0.2">
      <c r="A295" s="152" t="s">
        <v>235</v>
      </c>
      <c r="B295" s="446"/>
      <c r="C295" s="447"/>
      <c r="D295" s="448" t="s">
        <v>563</v>
      </c>
      <c r="E295" s="448" t="s">
        <v>46</v>
      </c>
      <c r="F295" s="447" t="s">
        <v>51</v>
      </c>
      <c r="G295" s="447" t="s">
        <v>56</v>
      </c>
      <c r="H295" s="427">
        <f>1200000-560285.02</f>
        <v>639714.98</v>
      </c>
      <c r="I295" s="449">
        <f t="shared" si="172"/>
        <v>596600.96</v>
      </c>
      <c r="J295" s="427"/>
      <c r="K295" s="450"/>
      <c r="L295" s="450"/>
      <c r="M295" s="450">
        <v>596600.96</v>
      </c>
      <c r="N295" s="451">
        <f t="shared" si="173"/>
        <v>1236315.94</v>
      </c>
      <c r="O295" s="427">
        <f>1200000-560285.02</f>
        <v>639714.98</v>
      </c>
      <c r="P295" s="426">
        <v>750000</v>
      </c>
      <c r="Q295" s="163">
        <f>R295+S295+T295+U295+V295</f>
        <v>0</v>
      </c>
      <c r="R295" s="427">
        <v>0</v>
      </c>
      <c r="S295" s="163">
        <v>0</v>
      </c>
      <c r="T295" s="163"/>
      <c r="U295" s="163">
        <v>0</v>
      </c>
      <c r="V295" s="163"/>
      <c r="W295" s="163"/>
      <c r="X295" s="165">
        <f t="shared" si="175"/>
        <v>750000</v>
      </c>
      <c r="Y295" s="301" t="s">
        <v>595</v>
      </c>
      <c r="Z295" s="317"/>
      <c r="AA295" s="317"/>
      <c r="AB295" s="400"/>
    </row>
    <row r="296" spans="1:29" s="318" customFormat="1" ht="66.75" customHeight="1" x14ac:dyDescent="0.2">
      <c r="A296" s="152" t="s">
        <v>549</v>
      </c>
      <c r="B296" s="446"/>
      <c r="C296" s="447"/>
      <c r="D296" s="448" t="s">
        <v>551</v>
      </c>
      <c r="E296" s="448" t="s">
        <v>46</v>
      </c>
      <c r="F296" s="447" t="s">
        <v>58</v>
      </c>
      <c r="G296" s="447" t="s">
        <v>64</v>
      </c>
      <c r="H296" s="427"/>
      <c r="I296" s="449"/>
      <c r="J296" s="427"/>
      <c r="K296" s="450"/>
      <c r="L296" s="450"/>
      <c r="M296" s="450"/>
      <c r="N296" s="510"/>
      <c r="O296" s="427"/>
      <c r="P296" s="426"/>
      <c r="Q296" s="163">
        <f>R296+S296+T296+U296+V296</f>
        <v>150000</v>
      </c>
      <c r="R296" s="427"/>
      <c r="S296" s="163"/>
      <c r="T296" s="163">
        <v>150000</v>
      </c>
      <c r="U296" s="163"/>
      <c r="V296" s="163"/>
      <c r="W296" s="163"/>
      <c r="X296" s="165">
        <f t="shared" si="175"/>
        <v>150000</v>
      </c>
      <c r="Y296" s="301"/>
      <c r="Z296" s="317"/>
      <c r="AA296" s="317"/>
      <c r="AB296" s="400"/>
    </row>
    <row r="297" spans="1:29" s="160" customFormat="1" ht="48" customHeight="1" x14ac:dyDescent="0.2">
      <c r="A297" s="152" t="s">
        <v>488</v>
      </c>
      <c r="B297" s="153"/>
      <c r="C297" s="452" t="s">
        <v>533</v>
      </c>
      <c r="D297" s="170" t="s">
        <v>551</v>
      </c>
      <c r="E297" s="453" t="s">
        <v>46</v>
      </c>
      <c r="F297" s="452" t="s">
        <v>51</v>
      </c>
      <c r="G297" s="155" t="s">
        <v>56</v>
      </c>
      <c r="H297" s="157"/>
      <c r="I297" s="158"/>
      <c r="J297" s="157"/>
      <c r="K297" s="159"/>
      <c r="L297" s="159"/>
      <c r="M297" s="159"/>
      <c r="N297" s="272"/>
      <c r="O297" s="157"/>
      <c r="P297" s="426">
        <v>0</v>
      </c>
      <c r="Q297" s="163">
        <f>R297+S297+T297+U297+V297</f>
        <v>8246289.3799999999</v>
      </c>
      <c r="R297" s="427"/>
      <c r="S297" s="163"/>
      <c r="T297" s="163">
        <v>8246289.3799999999</v>
      </c>
      <c r="U297" s="163"/>
      <c r="V297" s="163"/>
      <c r="W297" s="163"/>
      <c r="X297" s="165">
        <f t="shared" si="175"/>
        <v>8246289.3799999999</v>
      </c>
      <c r="Y297" s="376"/>
      <c r="Z297" s="288"/>
      <c r="AA297" s="318"/>
      <c r="AB297" s="400"/>
      <c r="AC297" s="318"/>
    </row>
    <row r="298" spans="1:29" s="52" customFormat="1" ht="12.75" hidden="1" customHeight="1" x14ac:dyDescent="0.2">
      <c r="A298" s="48" t="s">
        <v>57</v>
      </c>
      <c r="B298" s="42"/>
      <c r="C298" s="43"/>
      <c r="D298" s="43" t="s">
        <v>18</v>
      </c>
      <c r="E298" s="44" t="s">
        <v>46</v>
      </c>
      <c r="F298" s="43" t="s">
        <v>58</v>
      </c>
      <c r="G298" s="43"/>
      <c r="H298" s="45">
        <f>H299</f>
        <v>0</v>
      </c>
      <c r="I298" s="45">
        <f t="shared" ref="I298:N298" si="176">I299</f>
        <v>0</v>
      </c>
      <c r="J298" s="45">
        <f t="shared" si="176"/>
        <v>0</v>
      </c>
      <c r="K298" s="45">
        <f t="shared" si="176"/>
        <v>0</v>
      </c>
      <c r="L298" s="45">
        <f t="shared" si="176"/>
        <v>0</v>
      </c>
      <c r="M298" s="45">
        <f t="shared" si="176"/>
        <v>0</v>
      </c>
      <c r="N298" s="45">
        <f t="shared" si="176"/>
        <v>0</v>
      </c>
      <c r="O298" s="45">
        <f>O299</f>
        <v>0</v>
      </c>
      <c r="P298" s="353">
        <f>P299+P307+P308</f>
        <v>0</v>
      </c>
      <c r="Q298" s="353">
        <f t="shared" ref="Q298:X298" si="177">Q299+Q307+Q308</f>
        <v>0</v>
      </c>
      <c r="R298" s="353">
        <f t="shared" si="177"/>
        <v>0</v>
      </c>
      <c r="S298" s="353">
        <f t="shared" si="177"/>
        <v>0</v>
      </c>
      <c r="T298" s="353">
        <f>T299+T307+T308</f>
        <v>0</v>
      </c>
      <c r="U298" s="353">
        <f t="shared" si="177"/>
        <v>0</v>
      </c>
      <c r="V298" s="353"/>
      <c r="W298" s="353"/>
      <c r="X298" s="353">
        <f t="shared" si="177"/>
        <v>0</v>
      </c>
      <c r="Y298" s="369"/>
      <c r="Z298" s="289"/>
      <c r="AA298" s="319"/>
      <c r="AB298" s="395"/>
      <c r="AC298" s="319"/>
    </row>
    <row r="299" spans="1:29" ht="44.25" hidden="1" customHeight="1" x14ac:dyDescent="0.2">
      <c r="A299" s="80" t="s">
        <v>396</v>
      </c>
      <c r="B299" s="61"/>
      <c r="C299" s="30"/>
      <c r="D299" s="30" t="s">
        <v>245</v>
      </c>
      <c r="E299" s="62"/>
      <c r="F299" s="30"/>
      <c r="G299" s="30" t="s">
        <v>64</v>
      </c>
      <c r="H299" s="63">
        <v>0</v>
      </c>
      <c r="I299" s="31">
        <f>SUM(J299:M299)</f>
        <v>0</v>
      </c>
      <c r="J299" s="63"/>
      <c r="K299" s="64"/>
      <c r="L299" s="64">
        <v>0</v>
      </c>
      <c r="M299" s="64"/>
      <c r="N299" s="33">
        <f>H299+I299</f>
        <v>0</v>
      </c>
      <c r="O299" s="63">
        <v>0</v>
      </c>
      <c r="P299" s="262">
        <v>0</v>
      </c>
      <c r="Q299" s="163">
        <f>R299+S299+T299+U299</f>
        <v>0</v>
      </c>
      <c r="R299" s="163"/>
      <c r="S299" s="163"/>
      <c r="T299" s="163">
        <v>0</v>
      </c>
      <c r="U299" s="163"/>
      <c r="V299" s="163"/>
      <c r="W299" s="163"/>
      <c r="X299" s="165">
        <f>P299+Q299</f>
        <v>0</v>
      </c>
      <c r="Y299" s="301"/>
      <c r="Z299" s="288"/>
      <c r="AA299" s="316"/>
      <c r="AB299" s="332"/>
      <c r="AC299" s="316"/>
    </row>
    <row r="300" spans="1:29" ht="23.25" hidden="1" customHeight="1" x14ac:dyDescent="0.2">
      <c r="A300" s="23" t="s">
        <v>65</v>
      </c>
      <c r="B300" s="161" t="s">
        <v>130</v>
      </c>
      <c r="C300" s="25" t="s">
        <v>225</v>
      </c>
      <c r="D300" s="43" t="s">
        <v>231</v>
      </c>
      <c r="E300" s="26" t="s">
        <v>112</v>
      </c>
      <c r="F300" s="25" t="s">
        <v>66</v>
      </c>
      <c r="G300" s="25"/>
      <c r="H300" s="31">
        <f>H301</f>
        <v>0</v>
      </c>
      <c r="I300" s="31">
        <f t="shared" ref="I300:N300" si="178">I301</f>
        <v>0</v>
      </c>
      <c r="J300" s="31">
        <f t="shared" si="178"/>
        <v>0</v>
      </c>
      <c r="K300" s="31">
        <f t="shared" si="178"/>
        <v>0</v>
      </c>
      <c r="L300" s="31">
        <f t="shared" si="178"/>
        <v>0</v>
      </c>
      <c r="M300" s="31">
        <f t="shared" si="178"/>
        <v>0</v>
      </c>
      <c r="N300" s="31">
        <f t="shared" si="178"/>
        <v>0</v>
      </c>
      <c r="O300" s="31">
        <f>O301</f>
        <v>0</v>
      </c>
      <c r="P300" s="260">
        <f>P301</f>
        <v>0</v>
      </c>
      <c r="Q300" s="165"/>
      <c r="R300" s="165"/>
      <c r="S300" s="165"/>
      <c r="T300" s="165"/>
      <c r="U300" s="165"/>
      <c r="V300" s="165"/>
      <c r="W300" s="165"/>
      <c r="X300" s="165"/>
      <c r="Y300" s="301"/>
      <c r="Z300" s="288"/>
      <c r="AA300" s="316"/>
      <c r="AB300" s="329"/>
      <c r="AC300" s="316"/>
    </row>
    <row r="301" spans="1:29" ht="23.25" hidden="1" customHeight="1" x14ac:dyDescent="0.2">
      <c r="A301" s="80" t="s">
        <v>236</v>
      </c>
      <c r="B301" s="162"/>
      <c r="C301" s="30"/>
      <c r="D301" s="30"/>
      <c r="E301" s="62"/>
      <c r="F301" s="30"/>
      <c r="G301" s="30" t="s">
        <v>69</v>
      </c>
      <c r="H301" s="63">
        <v>0</v>
      </c>
      <c r="I301" s="31">
        <f>SUM(J301:M301)</f>
        <v>0</v>
      </c>
      <c r="J301" s="63">
        <v>0</v>
      </c>
      <c r="K301" s="64">
        <v>0</v>
      </c>
      <c r="L301" s="64">
        <v>0</v>
      </c>
      <c r="M301" s="64">
        <v>0</v>
      </c>
      <c r="N301" s="33">
        <f>H301+I301</f>
        <v>0</v>
      </c>
      <c r="O301" s="63">
        <v>0</v>
      </c>
      <c r="P301" s="262">
        <v>0</v>
      </c>
      <c r="Q301" s="163"/>
      <c r="R301" s="163"/>
      <c r="S301" s="163"/>
      <c r="T301" s="163"/>
      <c r="U301" s="163"/>
      <c r="V301" s="163"/>
      <c r="W301" s="163"/>
      <c r="X301" s="165"/>
      <c r="Y301" s="301"/>
      <c r="Z301" s="288"/>
      <c r="AA301" s="316"/>
      <c r="AB301" s="332"/>
      <c r="AC301" s="316"/>
    </row>
    <row r="302" spans="1:29" ht="57.75" hidden="1" customHeight="1" x14ac:dyDescent="0.2">
      <c r="A302" s="132" t="s">
        <v>237</v>
      </c>
      <c r="B302" s="162"/>
      <c r="C302" s="30"/>
      <c r="D302" s="30" t="s">
        <v>238</v>
      </c>
      <c r="E302" s="9" t="s">
        <v>46</v>
      </c>
      <c r="F302" s="8" t="s">
        <v>51</v>
      </c>
      <c r="G302" s="30" t="s">
        <v>101</v>
      </c>
      <c r="H302" s="63"/>
      <c r="I302" s="31"/>
      <c r="J302" s="63"/>
      <c r="K302" s="64"/>
      <c r="L302" s="64"/>
      <c r="M302" s="64"/>
      <c r="N302" s="33"/>
      <c r="O302" s="63"/>
      <c r="P302" s="262">
        <v>0</v>
      </c>
      <c r="Q302" s="163"/>
      <c r="R302" s="163"/>
      <c r="S302" s="163"/>
      <c r="T302" s="163"/>
      <c r="U302" s="163"/>
      <c r="V302" s="163"/>
      <c r="W302" s="163"/>
      <c r="X302" s="165"/>
      <c r="Y302" s="301"/>
      <c r="Z302" s="288"/>
      <c r="AA302" s="316"/>
      <c r="AB302" s="332"/>
      <c r="AC302" s="316"/>
    </row>
    <row r="303" spans="1:29" ht="57.75" hidden="1" customHeight="1" x14ac:dyDescent="0.2">
      <c r="A303" s="60" t="s">
        <v>239</v>
      </c>
      <c r="B303" s="162"/>
      <c r="C303" s="30"/>
      <c r="D303" s="30" t="s">
        <v>240</v>
      </c>
      <c r="E303" s="9" t="s">
        <v>140</v>
      </c>
      <c r="F303" s="8" t="s">
        <v>51</v>
      </c>
      <c r="G303" s="30" t="s">
        <v>56</v>
      </c>
      <c r="H303" s="63"/>
      <c r="I303" s="31"/>
      <c r="J303" s="63"/>
      <c r="K303" s="64"/>
      <c r="L303" s="64"/>
      <c r="M303" s="64"/>
      <c r="N303" s="33"/>
      <c r="O303" s="63"/>
      <c r="P303" s="262">
        <v>0</v>
      </c>
      <c r="Q303" s="163"/>
      <c r="R303" s="163"/>
      <c r="S303" s="163"/>
      <c r="T303" s="163"/>
      <c r="U303" s="163"/>
      <c r="V303" s="163"/>
      <c r="W303" s="163"/>
      <c r="X303" s="165"/>
      <c r="Y303" s="301"/>
      <c r="Z303" s="288"/>
      <c r="AA303" s="316"/>
      <c r="AB303" s="332"/>
      <c r="AC303" s="316"/>
    </row>
    <row r="304" spans="1:29" ht="86.25" hidden="1" customHeight="1" x14ac:dyDescent="0.2">
      <c r="A304" s="152" t="s">
        <v>230</v>
      </c>
      <c r="B304" s="7"/>
      <c r="C304" s="8"/>
      <c r="D304" s="30" t="s">
        <v>241</v>
      </c>
      <c r="E304" s="9" t="s">
        <v>46</v>
      </c>
      <c r="F304" s="8" t="s">
        <v>58</v>
      </c>
      <c r="G304" s="30" t="s">
        <v>64</v>
      </c>
      <c r="H304" s="31">
        <v>0</v>
      </c>
      <c r="I304" s="31">
        <f>SUM(J304:M304)</f>
        <v>0</v>
      </c>
      <c r="J304" s="31">
        <v>0</v>
      </c>
      <c r="K304" s="32">
        <v>0</v>
      </c>
      <c r="L304" s="32">
        <v>0</v>
      </c>
      <c r="M304" s="32">
        <v>0</v>
      </c>
      <c r="N304" s="33">
        <f>H304+I304</f>
        <v>0</v>
      </c>
      <c r="O304" s="31">
        <v>0</v>
      </c>
      <c r="P304" s="260">
        <v>0</v>
      </c>
      <c r="Q304" s="165"/>
      <c r="R304" s="165"/>
      <c r="S304" s="163"/>
      <c r="T304" s="163"/>
      <c r="U304" s="163"/>
      <c r="V304" s="163"/>
      <c r="W304" s="163"/>
      <c r="X304" s="165"/>
      <c r="Y304" s="301"/>
      <c r="Z304" s="288"/>
      <c r="AA304" s="316"/>
      <c r="AB304" s="329"/>
      <c r="AC304" s="316"/>
    </row>
    <row r="305" spans="1:30" ht="34.5" hidden="1" customHeight="1" x14ac:dyDescent="0.2">
      <c r="A305" s="152" t="s">
        <v>242</v>
      </c>
      <c r="B305" s="7"/>
      <c r="C305" s="8"/>
      <c r="D305" s="30" t="s">
        <v>137</v>
      </c>
      <c r="E305" s="9" t="s">
        <v>46</v>
      </c>
      <c r="F305" s="8" t="s">
        <v>58</v>
      </c>
      <c r="G305" s="30" t="s">
        <v>243</v>
      </c>
      <c r="H305" s="31"/>
      <c r="I305" s="31"/>
      <c r="J305" s="31"/>
      <c r="K305" s="32"/>
      <c r="L305" s="32"/>
      <c r="M305" s="32"/>
      <c r="N305" s="55"/>
      <c r="O305" s="31"/>
      <c r="P305" s="260">
        <v>0</v>
      </c>
      <c r="Q305" s="165"/>
      <c r="R305" s="165"/>
      <c r="S305" s="163"/>
      <c r="T305" s="163"/>
      <c r="U305" s="163"/>
      <c r="V305" s="163"/>
      <c r="W305" s="163"/>
      <c r="X305" s="165"/>
      <c r="Y305" s="301"/>
      <c r="Z305" s="288"/>
      <c r="AA305" s="316"/>
      <c r="AB305" s="329"/>
      <c r="AC305" s="316"/>
    </row>
    <row r="306" spans="1:30" ht="30.75" hidden="1" customHeight="1" x14ac:dyDescent="0.2">
      <c r="A306" s="152" t="s">
        <v>244</v>
      </c>
      <c r="B306" s="7"/>
      <c r="C306" s="8"/>
      <c r="D306" s="30" t="s">
        <v>233</v>
      </c>
      <c r="E306" s="9" t="s">
        <v>160</v>
      </c>
      <c r="F306" s="8" t="s">
        <v>66</v>
      </c>
      <c r="G306" s="30" t="s">
        <v>69</v>
      </c>
      <c r="H306" s="31"/>
      <c r="I306" s="31"/>
      <c r="J306" s="31"/>
      <c r="K306" s="32"/>
      <c r="L306" s="32"/>
      <c r="M306" s="32"/>
      <c r="N306" s="55"/>
      <c r="O306" s="31"/>
      <c r="P306" s="260">
        <v>0</v>
      </c>
      <c r="Q306" s="165"/>
      <c r="R306" s="165"/>
      <c r="S306" s="163"/>
      <c r="T306" s="163"/>
      <c r="U306" s="163"/>
      <c r="V306" s="163"/>
      <c r="W306" s="163"/>
      <c r="X306" s="165"/>
      <c r="Y306" s="301"/>
      <c r="Z306" s="288"/>
      <c r="AA306" s="316"/>
      <c r="AB306" s="329"/>
      <c r="AC306" s="316"/>
    </row>
    <row r="307" spans="1:30" ht="30.75" hidden="1" customHeight="1" x14ac:dyDescent="0.2">
      <c r="A307" s="152" t="s">
        <v>398</v>
      </c>
      <c r="B307" s="7"/>
      <c r="C307" s="8"/>
      <c r="D307" s="30" t="s">
        <v>245</v>
      </c>
      <c r="E307" s="9"/>
      <c r="F307" s="8"/>
      <c r="G307" s="30" t="s">
        <v>64</v>
      </c>
      <c r="H307" s="31"/>
      <c r="I307" s="31"/>
      <c r="J307" s="31"/>
      <c r="K307" s="32"/>
      <c r="L307" s="32"/>
      <c r="M307" s="32"/>
      <c r="N307" s="55"/>
      <c r="O307" s="31"/>
      <c r="P307" s="260">
        <v>0</v>
      </c>
      <c r="Q307" s="165">
        <f>R307+S307+T307+U307</f>
        <v>0</v>
      </c>
      <c r="R307" s="165"/>
      <c r="S307" s="163"/>
      <c r="T307" s="163">
        <v>0</v>
      </c>
      <c r="U307" s="163"/>
      <c r="V307" s="163"/>
      <c r="W307" s="163"/>
      <c r="X307" s="165">
        <f>P307+Q307</f>
        <v>0</v>
      </c>
      <c r="Y307" s="301"/>
      <c r="Z307" s="288"/>
      <c r="AA307" s="316"/>
      <c r="AB307" s="329"/>
      <c r="AC307" s="316"/>
    </row>
    <row r="308" spans="1:30" ht="49.5" hidden="1" customHeight="1" x14ac:dyDescent="0.2">
      <c r="A308" s="152" t="s">
        <v>405</v>
      </c>
      <c r="B308" s="7"/>
      <c r="C308" s="8"/>
      <c r="D308" s="30" t="s">
        <v>401</v>
      </c>
      <c r="E308" s="9"/>
      <c r="F308" s="8"/>
      <c r="G308" s="30" t="s">
        <v>64</v>
      </c>
      <c r="H308" s="31"/>
      <c r="I308" s="31"/>
      <c r="J308" s="31"/>
      <c r="K308" s="32"/>
      <c r="L308" s="32"/>
      <c r="M308" s="32"/>
      <c r="N308" s="55"/>
      <c r="O308" s="31"/>
      <c r="P308" s="260">
        <v>0</v>
      </c>
      <c r="Q308" s="165">
        <f>R308+S308+T308+U308</f>
        <v>0</v>
      </c>
      <c r="R308" s="165"/>
      <c r="S308" s="163"/>
      <c r="T308" s="163"/>
      <c r="U308" s="163"/>
      <c r="V308" s="163"/>
      <c r="W308" s="163"/>
      <c r="X308" s="165">
        <f>P308+Q308</f>
        <v>0</v>
      </c>
      <c r="Y308" s="301"/>
      <c r="Z308" s="288"/>
      <c r="AA308" s="316"/>
      <c r="AB308" s="329"/>
      <c r="AC308" s="316"/>
    </row>
    <row r="309" spans="1:30" ht="23.25" hidden="1" customHeight="1" x14ac:dyDescent="0.2">
      <c r="A309" s="48" t="s">
        <v>72</v>
      </c>
      <c r="B309" s="100">
        <v>804</v>
      </c>
      <c r="C309" s="43" t="s">
        <v>225</v>
      </c>
      <c r="D309" s="43" t="s">
        <v>18</v>
      </c>
      <c r="E309" s="44" t="s">
        <v>246</v>
      </c>
      <c r="F309" s="43" t="s">
        <v>73</v>
      </c>
      <c r="G309" s="43"/>
      <c r="H309" s="45">
        <f>SUM(H310:H312)</f>
        <v>0</v>
      </c>
      <c r="I309" s="45">
        <f t="shared" ref="I309:N309" si="179">SUM(I310:I312)</f>
        <v>25089156.629999999</v>
      </c>
      <c r="J309" s="45">
        <f t="shared" si="179"/>
        <v>0</v>
      </c>
      <c r="K309" s="45">
        <f t="shared" si="179"/>
        <v>25089156.629999999</v>
      </c>
      <c r="L309" s="45">
        <f t="shared" si="179"/>
        <v>0</v>
      </c>
      <c r="M309" s="45">
        <f t="shared" si="179"/>
        <v>0</v>
      </c>
      <c r="N309" s="45">
        <f t="shared" si="179"/>
        <v>25089156.629999999</v>
      </c>
      <c r="O309" s="45">
        <f>SUM(O310:O312)</f>
        <v>0</v>
      </c>
      <c r="P309" s="353">
        <f>SUM(P310:P320)</f>
        <v>0</v>
      </c>
      <c r="Q309" s="353">
        <f t="shared" ref="Q309:X309" si="180">SUM(Q310:Q320)</f>
        <v>0</v>
      </c>
      <c r="R309" s="353">
        <f t="shared" si="180"/>
        <v>0</v>
      </c>
      <c r="S309" s="353">
        <f t="shared" si="180"/>
        <v>0</v>
      </c>
      <c r="T309" s="353">
        <f t="shared" si="180"/>
        <v>0</v>
      </c>
      <c r="U309" s="353">
        <f t="shared" si="180"/>
        <v>0</v>
      </c>
      <c r="V309" s="353">
        <f t="shared" si="180"/>
        <v>0</v>
      </c>
      <c r="W309" s="353"/>
      <c r="X309" s="353">
        <f t="shared" si="180"/>
        <v>0</v>
      </c>
      <c r="Y309" s="301"/>
      <c r="Z309" s="288"/>
      <c r="AA309" s="316"/>
      <c r="AB309" s="395"/>
      <c r="AC309" s="316"/>
    </row>
    <row r="310" spans="1:30" ht="78.75" hidden="1" customHeight="1" x14ac:dyDescent="0.2">
      <c r="A310" s="152" t="s">
        <v>392</v>
      </c>
      <c r="B310" s="7"/>
      <c r="C310" s="8"/>
      <c r="D310" s="30" t="s">
        <v>252</v>
      </c>
      <c r="E310" s="9" t="s">
        <v>246</v>
      </c>
      <c r="F310" s="8" t="s">
        <v>73</v>
      </c>
      <c r="G310" s="30" t="s">
        <v>247</v>
      </c>
      <c r="H310" s="31">
        <v>0</v>
      </c>
      <c r="I310" s="31">
        <f>SUM(J310:M310)</f>
        <v>0</v>
      </c>
      <c r="J310" s="31">
        <v>0</v>
      </c>
      <c r="K310" s="32">
        <v>0</v>
      </c>
      <c r="L310" s="32">
        <v>0</v>
      </c>
      <c r="M310" s="32">
        <v>0</v>
      </c>
      <c r="N310" s="33">
        <f>H310+I310</f>
        <v>0</v>
      </c>
      <c r="O310" s="31">
        <v>0</v>
      </c>
      <c r="P310" s="260">
        <v>0</v>
      </c>
      <c r="Q310" s="165">
        <f>R310+S310+T310+U310</f>
        <v>0</v>
      </c>
      <c r="R310" s="165"/>
      <c r="S310" s="165">
        <v>0</v>
      </c>
      <c r="T310" s="165"/>
      <c r="U310" s="165"/>
      <c r="V310" s="165"/>
      <c r="W310" s="165"/>
      <c r="X310" s="165">
        <f>P310+Q310</f>
        <v>0</v>
      </c>
      <c r="Y310" s="301"/>
      <c r="Z310" s="288"/>
      <c r="AA310" s="288"/>
      <c r="AB310" s="329"/>
      <c r="AC310" s="316"/>
    </row>
    <row r="311" spans="1:30" ht="24.75" hidden="1" customHeight="1" x14ac:dyDescent="0.2">
      <c r="A311" s="164" t="s">
        <v>248</v>
      </c>
      <c r="B311" s="7"/>
      <c r="C311" s="8"/>
      <c r="D311" s="30" t="s">
        <v>249</v>
      </c>
      <c r="E311" s="9" t="s">
        <v>46</v>
      </c>
      <c r="F311" s="8" t="s">
        <v>73</v>
      </c>
      <c r="G311" s="30" t="s">
        <v>75</v>
      </c>
      <c r="H311" s="31">
        <v>0</v>
      </c>
      <c r="I311" s="31">
        <f>SUM(J311:M311)</f>
        <v>11679091.84</v>
      </c>
      <c r="J311" s="31"/>
      <c r="K311" s="32">
        <v>11679091.84</v>
      </c>
      <c r="L311" s="32"/>
      <c r="M311" s="32"/>
      <c r="N311" s="33">
        <f>H311+I311</f>
        <v>11679091.84</v>
      </c>
      <c r="O311" s="31">
        <v>0</v>
      </c>
      <c r="P311" s="260">
        <v>0</v>
      </c>
      <c r="Q311" s="165"/>
      <c r="R311" s="165"/>
      <c r="S311" s="165"/>
      <c r="T311" s="165"/>
      <c r="U311" s="165"/>
      <c r="V311" s="165"/>
      <c r="W311" s="165"/>
      <c r="X311" s="165"/>
      <c r="Y311" s="301"/>
      <c r="Z311" s="288"/>
      <c r="AA311" s="316"/>
      <c r="AB311" s="329"/>
      <c r="AC311" s="316"/>
    </row>
    <row r="312" spans="1:30" ht="24.75" hidden="1" customHeight="1" x14ac:dyDescent="0.2">
      <c r="A312" s="164" t="s">
        <v>248</v>
      </c>
      <c r="B312" s="7"/>
      <c r="C312" s="8"/>
      <c r="D312" s="30" t="s">
        <v>250</v>
      </c>
      <c r="E312" s="9" t="s">
        <v>46</v>
      </c>
      <c r="F312" s="8" t="s">
        <v>73</v>
      </c>
      <c r="G312" s="30" t="s">
        <v>75</v>
      </c>
      <c r="H312" s="31">
        <v>0</v>
      </c>
      <c r="I312" s="31">
        <f>SUM(J312:M312)</f>
        <v>13410064.789999999</v>
      </c>
      <c r="J312" s="31"/>
      <c r="K312" s="32">
        <v>13410064.789999999</v>
      </c>
      <c r="L312" s="32"/>
      <c r="M312" s="32"/>
      <c r="N312" s="33">
        <f>H312+I312</f>
        <v>13410064.789999999</v>
      </c>
      <c r="O312" s="31">
        <v>0</v>
      </c>
      <c r="P312" s="260">
        <v>0</v>
      </c>
      <c r="Q312" s="165"/>
      <c r="R312" s="165"/>
      <c r="S312" s="165"/>
      <c r="T312" s="165"/>
      <c r="U312" s="165"/>
      <c r="V312" s="165"/>
      <c r="W312" s="165"/>
      <c r="X312" s="165"/>
      <c r="Y312" s="301"/>
      <c r="Z312" s="288"/>
      <c r="AA312" s="316"/>
      <c r="AB312" s="329"/>
      <c r="AC312" s="316"/>
    </row>
    <row r="313" spans="1:30" ht="87" hidden="1" customHeight="1" x14ac:dyDescent="0.2">
      <c r="A313" s="152" t="s">
        <v>399</v>
      </c>
      <c r="B313" s="7"/>
      <c r="C313" s="8"/>
      <c r="D313" s="30" t="s">
        <v>245</v>
      </c>
      <c r="E313" s="9" t="s">
        <v>246</v>
      </c>
      <c r="F313" s="8" t="s">
        <v>73</v>
      </c>
      <c r="G313" s="30" t="s">
        <v>247</v>
      </c>
      <c r="H313" s="31">
        <v>0</v>
      </c>
      <c r="I313" s="31">
        <f>SUM(J313:M313)</f>
        <v>0</v>
      </c>
      <c r="J313" s="31">
        <v>0</v>
      </c>
      <c r="K313" s="32">
        <v>0</v>
      </c>
      <c r="L313" s="32">
        <v>0</v>
      </c>
      <c r="M313" s="32">
        <v>0</v>
      </c>
      <c r="N313" s="33">
        <f>H313+I313</f>
        <v>0</v>
      </c>
      <c r="O313" s="31">
        <v>0</v>
      </c>
      <c r="P313" s="260">
        <v>0</v>
      </c>
      <c r="Q313" s="165">
        <f>R313+S313+T313+U313</f>
        <v>0</v>
      </c>
      <c r="R313" s="165"/>
      <c r="S313" s="163"/>
      <c r="T313" s="163"/>
      <c r="U313" s="163"/>
      <c r="V313" s="163"/>
      <c r="W313" s="163"/>
      <c r="X313" s="165">
        <f>P313+Q313</f>
        <v>0</v>
      </c>
      <c r="Y313" s="301"/>
      <c r="Z313" s="288"/>
      <c r="AA313" s="316"/>
      <c r="AB313" s="329"/>
      <c r="AC313" s="316"/>
    </row>
    <row r="314" spans="1:30" ht="79.5" hidden="1" customHeight="1" x14ac:dyDescent="0.2">
      <c r="A314" s="152" t="s">
        <v>399</v>
      </c>
      <c r="B314" s="7"/>
      <c r="C314" s="8"/>
      <c r="D314" s="30" t="s">
        <v>245</v>
      </c>
      <c r="E314" s="9" t="s">
        <v>246</v>
      </c>
      <c r="F314" s="8" t="s">
        <v>73</v>
      </c>
      <c r="G314" s="30" t="s">
        <v>247</v>
      </c>
      <c r="H314" s="31">
        <v>0</v>
      </c>
      <c r="I314" s="31">
        <f>SUM(J314:M314)</f>
        <v>0</v>
      </c>
      <c r="J314" s="31">
        <v>0</v>
      </c>
      <c r="K314" s="32">
        <v>0</v>
      </c>
      <c r="L314" s="32">
        <v>0</v>
      </c>
      <c r="M314" s="32">
        <v>0</v>
      </c>
      <c r="N314" s="33">
        <f>H314+I314</f>
        <v>0</v>
      </c>
      <c r="O314" s="31">
        <v>0</v>
      </c>
      <c r="P314" s="260">
        <v>0</v>
      </c>
      <c r="Q314" s="165">
        <f>R314+S314+T314+U314</f>
        <v>0</v>
      </c>
      <c r="R314" s="165"/>
      <c r="S314" s="163"/>
      <c r="T314" s="163"/>
      <c r="U314" s="163"/>
      <c r="V314" s="163"/>
      <c r="W314" s="163"/>
      <c r="X314" s="165">
        <f>P314+Q314</f>
        <v>0</v>
      </c>
      <c r="Y314" s="301"/>
      <c r="Z314" s="288"/>
      <c r="AA314" s="316"/>
      <c r="AB314" s="329"/>
      <c r="AC314" s="316"/>
    </row>
    <row r="315" spans="1:30" ht="41.25" hidden="1" customHeight="1" x14ac:dyDescent="0.2">
      <c r="A315" s="152" t="s">
        <v>251</v>
      </c>
      <c r="B315" s="7"/>
      <c r="C315" s="8"/>
      <c r="D315" s="30" t="s">
        <v>253</v>
      </c>
      <c r="E315" s="9" t="s">
        <v>246</v>
      </c>
      <c r="F315" s="8" t="s">
        <v>73</v>
      </c>
      <c r="G315" s="30" t="s">
        <v>247</v>
      </c>
      <c r="H315" s="31"/>
      <c r="I315" s="31"/>
      <c r="J315" s="31"/>
      <c r="K315" s="32"/>
      <c r="L315" s="32"/>
      <c r="M315" s="32"/>
      <c r="N315" s="33"/>
      <c r="O315" s="31"/>
      <c r="P315" s="260">
        <v>0</v>
      </c>
      <c r="Q315" s="165"/>
      <c r="R315" s="165"/>
      <c r="S315" s="163"/>
      <c r="T315" s="163"/>
      <c r="U315" s="163"/>
      <c r="V315" s="163"/>
      <c r="W315" s="163"/>
      <c r="X315" s="165"/>
      <c r="Y315" s="301"/>
      <c r="Z315" s="288"/>
      <c r="AA315" s="316"/>
      <c r="AB315" s="329"/>
      <c r="AC315" s="316"/>
    </row>
    <row r="316" spans="1:30" ht="46.5" hidden="1" customHeight="1" x14ac:dyDescent="0.2">
      <c r="A316" s="152" t="s">
        <v>254</v>
      </c>
      <c r="B316" s="7"/>
      <c r="C316" s="8"/>
      <c r="D316" s="30" t="s">
        <v>255</v>
      </c>
      <c r="E316" s="9" t="s">
        <v>246</v>
      </c>
      <c r="F316" s="8" t="s">
        <v>73</v>
      </c>
      <c r="G316" s="30" t="s">
        <v>247</v>
      </c>
      <c r="H316" s="31"/>
      <c r="I316" s="31"/>
      <c r="J316" s="31"/>
      <c r="K316" s="32"/>
      <c r="L316" s="32"/>
      <c r="M316" s="32"/>
      <c r="N316" s="55"/>
      <c r="O316" s="31"/>
      <c r="P316" s="260">
        <v>0</v>
      </c>
      <c r="Q316" s="165"/>
      <c r="R316" s="165"/>
      <c r="S316" s="163"/>
      <c r="T316" s="163"/>
      <c r="U316" s="163"/>
      <c r="V316" s="163"/>
      <c r="W316" s="163"/>
      <c r="X316" s="165"/>
      <c r="Y316" s="301"/>
      <c r="Z316" s="288"/>
      <c r="AA316" s="316"/>
      <c r="AB316" s="329"/>
      <c r="AC316" s="316"/>
    </row>
    <row r="317" spans="1:30" ht="45" hidden="1" customHeight="1" x14ac:dyDescent="0.2">
      <c r="A317" s="152" t="s">
        <v>256</v>
      </c>
      <c r="B317" s="7"/>
      <c r="C317" s="8"/>
      <c r="D317" s="30" t="s">
        <v>238</v>
      </c>
      <c r="E317" s="9" t="s">
        <v>140</v>
      </c>
      <c r="F317" s="8" t="s">
        <v>73</v>
      </c>
      <c r="G317" s="30" t="s">
        <v>257</v>
      </c>
      <c r="H317" s="31"/>
      <c r="I317" s="31"/>
      <c r="J317" s="31"/>
      <c r="K317" s="32"/>
      <c r="L317" s="32"/>
      <c r="M317" s="32"/>
      <c r="N317" s="55"/>
      <c r="O317" s="31"/>
      <c r="P317" s="260">
        <v>0</v>
      </c>
      <c r="Q317" s="165"/>
      <c r="R317" s="165"/>
      <c r="S317" s="163"/>
      <c r="T317" s="163"/>
      <c r="U317" s="163"/>
      <c r="V317" s="163"/>
      <c r="W317" s="163"/>
      <c r="X317" s="165"/>
      <c r="Y317" s="301"/>
      <c r="Z317" s="288"/>
      <c r="AA317" s="316"/>
      <c r="AB317" s="329"/>
      <c r="AC317" s="316"/>
    </row>
    <row r="318" spans="1:30" ht="45" hidden="1" customHeight="1" x14ac:dyDescent="0.2">
      <c r="A318" s="152" t="s">
        <v>402</v>
      </c>
      <c r="B318" s="7"/>
      <c r="C318" s="8"/>
      <c r="D318" s="30" t="s">
        <v>449</v>
      </c>
      <c r="E318" s="9" t="s">
        <v>426</v>
      </c>
      <c r="F318" s="8" t="s">
        <v>73</v>
      </c>
      <c r="G318" s="30" t="s">
        <v>75</v>
      </c>
      <c r="H318" s="31"/>
      <c r="I318" s="31"/>
      <c r="J318" s="31"/>
      <c r="K318" s="32"/>
      <c r="L318" s="32"/>
      <c r="M318" s="32"/>
      <c r="N318" s="55"/>
      <c r="O318" s="31"/>
      <c r="P318" s="260">
        <v>0</v>
      </c>
      <c r="Q318" s="165">
        <f>R318+S318+T318+U318+V318</f>
        <v>0</v>
      </c>
      <c r="R318" s="165"/>
      <c r="S318" s="163"/>
      <c r="T318" s="163"/>
      <c r="U318" s="163"/>
      <c r="V318" s="163"/>
      <c r="W318" s="163"/>
      <c r="X318" s="165">
        <f>P318+Q318</f>
        <v>0</v>
      </c>
      <c r="Y318" s="301"/>
      <c r="Z318" s="288"/>
      <c r="AA318" s="316"/>
      <c r="AB318" s="329"/>
      <c r="AC318" s="288"/>
      <c r="AD318" s="37"/>
    </row>
    <row r="319" spans="1:30" ht="45" hidden="1" customHeight="1" x14ac:dyDescent="0.2">
      <c r="A319" s="152" t="s">
        <v>402</v>
      </c>
      <c r="B319" s="7"/>
      <c r="C319" s="8"/>
      <c r="D319" s="30"/>
      <c r="E319" s="9" t="s">
        <v>426</v>
      </c>
      <c r="F319" s="8" t="s">
        <v>73</v>
      </c>
      <c r="G319" s="30" t="s">
        <v>75</v>
      </c>
      <c r="H319" s="31"/>
      <c r="I319" s="31"/>
      <c r="J319" s="31"/>
      <c r="K319" s="32"/>
      <c r="L319" s="32"/>
      <c r="M319" s="32"/>
      <c r="N319" s="55"/>
      <c r="O319" s="31"/>
      <c r="P319" s="260">
        <v>0</v>
      </c>
      <c r="Q319" s="165">
        <f t="shared" ref="Q319:Q324" si="181">R319+S319+T319+U319+V319</f>
        <v>0</v>
      </c>
      <c r="R319" s="165">
        <v>0</v>
      </c>
      <c r="S319" s="163"/>
      <c r="T319" s="163"/>
      <c r="U319" s="163"/>
      <c r="V319" s="163"/>
      <c r="W319" s="163"/>
      <c r="X319" s="165">
        <f t="shared" ref="X319:X324" si="182">P319+Q319</f>
        <v>0</v>
      </c>
      <c r="Y319" s="301"/>
      <c r="Z319" s="288"/>
      <c r="AA319" s="316"/>
      <c r="AB319" s="329"/>
      <c r="AC319" s="288"/>
      <c r="AD319" s="37"/>
    </row>
    <row r="320" spans="1:30" ht="45" hidden="1" customHeight="1" x14ac:dyDescent="0.2">
      <c r="A320" s="152" t="s">
        <v>403</v>
      </c>
      <c r="B320" s="7"/>
      <c r="C320" s="8"/>
      <c r="D320" s="30" t="s">
        <v>401</v>
      </c>
      <c r="E320" s="9" t="s">
        <v>123</v>
      </c>
      <c r="F320" s="8" t="s">
        <v>66</v>
      </c>
      <c r="G320" s="30" t="s">
        <v>69</v>
      </c>
      <c r="H320" s="31"/>
      <c r="I320" s="31"/>
      <c r="J320" s="31"/>
      <c r="K320" s="32"/>
      <c r="L320" s="32"/>
      <c r="M320" s="32"/>
      <c r="N320" s="55"/>
      <c r="O320" s="31"/>
      <c r="P320" s="260">
        <v>0</v>
      </c>
      <c r="Q320" s="165">
        <f t="shared" si="181"/>
        <v>0</v>
      </c>
      <c r="R320" s="165">
        <v>0</v>
      </c>
      <c r="S320" s="163"/>
      <c r="T320" s="163"/>
      <c r="U320" s="163"/>
      <c r="V320" s="163"/>
      <c r="W320" s="163"/>
      <c r="X320" s="165">
        <f t="shared" si="182"/>
        <v>0</v>
      </c>
      <c r="Y320" s="301"/>
      <c r="Z320" s="288"/>
      <c r="AA320" s="316"/>
      <c r="AB320" s="329"/>
      <c r="AC320" s="316"/>
    </row>
    <row r="321" spans="1:29" ht="45" hidden="1" customHeight="1" x14ac:dyDescent="0.2">
      <c r="A321" s="348" t="s">
        <v>57</v>
      </c>
      <c r="B321" s="42"/>
      <c r="C321" s="43"/>
      <c r="D321" s="43" t="s">
        <v>18</v>
      </c>
      <c r="E321" s="44" t="s">
        <v>46</v>
      </c>
      <c r="F321" s="43"/>
      <c r="G321" s="43"/>
      <c r="H321" s="45"/>
      <c r="I321" s="45"/>
      <c r="J321" s="45"/>
      <c r="K321" s="46"/>
      <c r="L321" s="46"/>
      <c r="M321" s="46"/>
      <c r="N321" s="313"/>
      <c r="O321" s="45"/>
      <c r="P321" s="353">
        <f>P322</f>
        <v>0</v>
      </c>
      <c r="Q321" s="315">
        <f>Q322</f>
        <v>0</v>
      </c>
      <c r="R321" s="315">
        <f>R322</f>
        <v>0</v>
      </c>
      <c r="S321" s="315">
        <f>S322</f>
        <v>0</v>
      </c>
      <c r="T321" s="315">
        <f>T322</f>
        <v>0</v>
      </c>
      <c r="U321" s="315"/>
      <c r="V321" s="315">
        <f>V322</f>
        <v>0</v>
      </c>
      <c r="W321" s="315">
        <f>W322</f>
        <v>0</v>
      </c>
      <c r="X321" s="315">
        <f>X322</f>
        <v>0</v>
      </c>
      <c r="Y321" s="301"/>
      <c r="Z321" s="288"/>
      <c r="AA321" s="316"/>
      <c r="AB321" s="329"/>
      <c r="AC321" s="316"/>
    </row>
    <row r="322" spans="1:29" ht="45" hidden="1" customHeight="1" x14ac:dyDescent="0.2">
      <c r="A322" s="152" t="s">
        <v>549</v>
      </c>
      <c r="B322" s="7"/>
      <c r="C322" s="8"/>
      <c r="D322" s="169" t="s">
        <v>551</v>
      </c>
      <c r="E322" s="9" t="s">
        <v>46</v>
      </c>
      <c r="F322" s="8" t="s">
        <v>58</v>
      </c>
      <c r="G322" s="30" t="s">
        <v>64</v>
      </c>
      <c r="H322" s="31"/>
      <c r="I322" s="31"/>
      <c r="J322" s="31"/>
      <c r="K322" s="32"/>
      <c r="L322" s="32"/>
      <c r="M322" s="32"/>
      <c r="N322" s="55"/>
      <c r="O322" s="31"/>
      <c r="P322" s="260"/>
      <c r="Q322" s="165">
        <f t="shared" si="181"/>
        <v>0</v>
      </c>
      <c r="R322" s="165"/>
      <c r="S322" s="163"/>
      <c r="T322" s="163">
        <v>0</v>
      </c>
      <c r="U322" s="163"/>
      <c r="V322" s="163"/>
      <c r="W322" s="163"/>
      <c r="X322" s="165">
        <f t="shared" si="182"/>
        <v>0</v>
      </c>
      <c r="Y322" s="301"/>
      <c r="Z322" s="288"/>
      <c r="AA322" s="316"/>
      <c r="AB322" s="329"/>
      <c r="AC322" s="316"/>
    </row>
    <row r="323" spans="1:29" ht="45" hidden="1" customHeight="1" x14ac:dyDescent="0.2">
      <c r="A323" s="348" t="s">
        <v>550</v>
      </c>
      <c r="B323" s="42"/>
      <c r="C323" s="43"/>
      <c r="D323" s="43" t="s">
        <v>18</v>
      </c>
      <c r="E323" s="44" t="s">
        <v>46</v>
      </c>
      <c r="F323" s="43"/>
      <c r="G323" s="43"/>
      <c r="H323" s="45"/>
      <c r="I323" s="45"/>
      <c r="J323" s="45"/>
      <c r="K323" s="46"/>
      <c r="L323" s="46"/>
      <c r="M323" s="46"/>
      <c r="N323" s="313"/>
      <c r="O323" s="45"/>
      <c r="P323" s="353">
        <f>P324</f>
        <v>0</v>
      </c>
      <c r="Q323" s="315">
        <f>Q324</f>
        <v>0</v>
      </c>
      <c r="R323" s="315">
        <f t="shared" ref="R323:X323" si="183">R324</f>
        <v>0</v>
      </c>
      <c r="S323" s="315">
        <f t="shared" si="183"/>
        <v>0</v>
      </c>
      <c r="T323" s="315">
        <f t="shared" si="183"/>
        <v>0</v>
      </c>
      <c r="U323" s="315">
        <f t="shared" si="183"/>
        <v>0</v>
      </c>
      <c r="V323" s="315">
        <f t="shared" si="183"/>
        <v>0</v>
      </c>
      <c r="W323" s="315">
        <f t="shared" si="183"/>
        <v>0</v>
      </c>
      <c r="X323" s="315">
        <f t="shared" si="183"/>
        <v>0</v>
      </c>
      <c r="Y323" s="301"/>
      <c r="Z323" s="288"/>
      <c r="AA323" s="316"/>
      <c r="AB323" s="329"/>
      <c r="AC323" s="316"/>
    </row>
    <row r="324" spans="1:29" ht="45" hidden="1" customHeight="1" x14ac:dyDescent="0.2">
      <c r="A324" s="6" t="s">
        <v>545</v>
      </c>
      <c r="B324" s="138" t="s">
        <v>130</v>
      </c>
      <c r="C324" s="8" t="s">
        <v>259</v>
      </c>
      <c r="D324" s="169" t="s">
        <v>551</v>
      </c>
      <c r="E324" s="9" t="s">
        <v>46</v>
      </c>
      <c r="F324" s="8" t="s">
        <v>51</v>
      </c>
      <c r="G324" s="8" t="s">
        <v>56</v>
      </c>
      <c r="H324" s="31"/>
      <c r="I324" s="31"/>
      <c r="J324" s="31"/>
      <c r="K324" s="32"/>
      <c r="L324" s="32"/>
      <c r="M324" s="32"/>
      <c r="N324" s="55"/>
      <c r="O324" s="31"/>
      <c r="P324" s="260">
        <v>0</v>
      </c>
      <c r="Q324" s="165">
        <f t="shared" si="181"/>
        <v>0</v>
      </c>
      <c r="R324" s="165"/>
      <c r="S324" s="163"/>
      <c r="T324" s="163">
        <v>0</v>
      </c>
      <c r="U324" s="163"/>
      <c r="V324" s="163"/>
      <c r="W324" s="163"/>
      <c r="X324" s="165">
        <f t="shared" si="182"/>
        <v>0</v>
      </c>
      <c r="Y324" s="301"/>
      <c r="Z324" s="288"/>
      <c r="AA324" s="316"/>
      <c r="AB324" s="329"/>
      <c r="AC324" s="316"/>
    </row>
    <row r="325" spans="1:29" x14ac:dyDescent="0.2">
      <c r="A325" s="34" t="s">
        <v>258</v>
      </c>
      <c r="B325" s="166" t="s">
        <v>130</v>
      </c>
      <c r="C325" s="18" t="s">
        <v>259</v>
      </c>
      <c r="D325" s="83" t="s">
        <v>18</v>
      </c>
      <c r="E325" s="19" t="s">
        <v>19</v>
      </c>
      <c r="F325" s="18" t="s">
        <v>19</v>
      </c>
      <c r="G325" s="18"/>
      <c r="H325" s="20">
        <f>SUM(H326:H363)</f>
        <v>7634201.8799999999</v>
      </c>
      <c r="I325" s="20">
        <f t="shared" ref="I325:N325" si="184">SUM(I326:I340)</f>
        <v>122246.84</v>
      </c>
      <c r="J325" s="20">
        <f t="shared" si="184"/>
        <v>92754.680000000008</v>
      </c>
      <c r="K325" s="21">
        <f t="shared" si="184"/>
        <v>124000</v>
      </c>
      <c r="L325" s="21">
        <f t="shared" si="184"/>
        <v>0</v>
      </c>
      <c r="M325" s="21">
        <f t="shared" si="184"/>
        <v>-94507.839999999997</v>
      </c>
      <c r="N325" s="21">
        <f t="shared" si="184"/>
        <v>882246.84</v>
      </c>
      <c r="O325" s="20">
        <f>SUM(O326:O363)</f>
        <v>3419361.5039999997</v>
      </c>
      <c r="P325" s="257">
        <f>SUM(P326:P372)</f>
        <v>3673379.2800000003</v>
      </c>
      <c r="Q325" s="257">
        <f>SUM(Q326:Q372)</f>
        <v>3219773.99</v>
      </c>
      <c r="R325" s="257">
        <f t="shared" ref="R325:Y325" si="185">SUM(R326:R372)</f>
        <v>0</v>
      </c>
      <c r="S325" s="257">
        <f t="shared" si="185"/>
        <v>0</v>
      </c>
      <c r="T325" s="257">
        <f>SUM(T326:T372)</f>
        <v>3187870</v>
      </c>
      <c r="U325" s="257">
        <f>SUM(U326:U372)</f>
        <v>31903.99</v>
      </c>
      <c r="V325" s="257">
        <f>SUM(V326:V372)</f>
        <v>0</v>
      </c>
      <c r="W325" s="257">
        <f t="shared" si="185"/>
        <v>0</v>
      </c>
      <c r="X325" s="257">
        <f>SUM(X326:X372)</f>
        <v>6893153.2700000005</v>
      </c>
      <c r="Y325" s="257">
        <f t="shared" si="185"/>
        <v>0</v>
      </c>
      <c r="Z325" s="288"/>
      <c r="AA325" s="316"/>
      <c r="AB325" s="385"/>
      <c r="AC325" s="316"/>
    </row>
    <row r="326" spans="1:29" ht="38.25" hidden="1" x14ac:dyDescent="0.2">
      <c r="A326" s="6" t="s">
        <v>512</v>
      </c>
      <c r="B326" s="138" t="s">
        <v>130</v>
      </c>
      <c r="C326" s="8" t="s">
        <v>259</v>
      </c>
      <c r="D326" s="169" t="s">
        <v>232</v>
      </c>
      <c r="E326" s="9" t="s">
        <v>46</v>
      </c>
      <c r="F326" s="8" t="s">
        <v>51</v>
      </c>
      <c r="G326" s="146" t="s">
        <v>53</v>
      </c>
      <c r="H326" s="63">
        <v>0</v>
      </c>
      <c r="I326" s="31">
        <f t="shared" ref="I326:I340" si="186">SUM(J326:M326)</f>
        <v>14616.5</v>
      </c>
      <c r="J326" s="63">
        <v>14616.5</v>
      </c>
      <c r="K326" s="63"/>
      <c r="L326" s="63"/>
      <c r="M326" s="63"/>
      <c r="N326" s="33">
        <f t="shared" ref="N326:N340" si="187">H326+I326</f>
        <v>14616.5</v>
      </c>
      <c r="O326" s="63">
        <v>0</v>
      </c>
      <c r="P326" s="262">
        <v>0</v>
      </c>
      <c r="Q326" s="165">
        <f>R326+S326+T326+U326+V326</f>
        <v>0</v>
      </c>
      <c r="R326" s="163"/>
      <c r="S326" s="163"/>
      <c r="T326" s="163"/>
      <c r="U326" s="163"/>
      <c r="V326" s="163"/>
      <c r="W326" s="163"/>
      <c r="X326" s="165">
        <f t="shared" ref="X326:X372" si="188">P326+Q326</f>
        <v>0</v>
      </c>
      <c r="Y326" s="301"/>
      <c r="Z326" s="288"/>
      <c r="AA326" s="316"/>
      <c r="AB326" s="332"/>
      <c r="AC326" s="316"/>
    </row>
    <row r="327" spans="1:29" hidden="1" x14ac:dyDescent="0.2">
      <c r="A327" s="6" t="s">
        <v>260</v>
      </c>
      <c r="B327" s="138" t="s">
        <v>130</v>
      </c>
      <c r="C327" s="8" t="s">
        <v>259</v>
      </c>
      <c r="D327" s="169" t="s">
        <v>232</v>
      </c>
      <c r="E327" s="9" t="s">
        <v>46</v>
      </c>
      <c r="F327" s="8" t="s">
        <v>58</v>
      </c>
      <c r="G327" s="8" t="s">
        <v>64</v>
      </c>
      <c r="H327" s="66">
        <v>0</v>
      </c>
      <c r="I327" s="31">
        <f t="shared" si="186"/>
        <v>0</v>
      </c>
      <c r="J327" s="66">
        <v>0</v>
      </c>
      <c r="K327" s="67">
        <v>0</v>
      </c>
      <c r="L327" s="67">
        <v>0</v>
      </c>
      <c r="M327" s="67">
        <v>0</v>
      </c>
      <c r="N327" s="33">
        <f t="shared" si="187"/>
        <v>0</v>
      </c>
      <c r="O327" s="66">
        <v>0</v>
      </c>
      <c r="P327" s="335">
        <v>0</v>
      </c>
      <c r="Q327" s="165">
        <f t="shared" ref="Q327:Q328" si="189">R327+S327+T327+U327+V327</f>
        <v>0</v>
      </c>
      <c r="R327" s="299"/>
      <c r="S327" s="299"/>
      <c r="T327" s="299"/>
      <c r="U327" s="299"/>
      <c r="V327" s="299"/>
      <c r="W327" s="299"/>
      <c r="X327" s="165">
        <f t="shared" si="188"/>
        <v>0</v>
      </c>
      <c r="Y327" s="301"/>
      <c r="Z327" s="288"/>
      <c r="AA327" s="316"/>
      <c r="AB327" s="391"/>
      <c r="AC327" s="316"/>
    </row>
    <row r="328" spans="1:29" ht="38.25" hidden="1" x14ac:dyDescent="0.2">
      <c r="A328" s="6" t="s">
        <v>545</v>
      </c>
      <c r="B328" s="138" t="s">
        <v>130</v>
      </c>
      <c r="C328" s="8" t="s">
        <v>259</v>
      </c>
      <c r="D328" s="169" t="s">
        <v>232</v>
      </c>
      <c r="E328" s="9" t="s">
        <v>46</v>
      </c>
      <c r="F328" s="8" t="s">
        <v>51</v>
      </c>
      <c r="G328" s="8" t="s">
        <v>56</v>
      </c>
      <c r="H328" s="66"/>
      <c r="I328" s="31"/>
      <c r="J328" s="66"/>
      <c r="K328" s="67"/>
      <c r="L328" s="67"/>
      <c r="M328" s="67"/>
      <c r="N328" s="33"/>
      <c r="O328" s="66"/>
      <c r="P328" s="335">
        <v>0</v>
      </c>
      <c r="Q328" s="165">
        <f t="shared" si="189"/>
        <v>0</v>
      </c>
      <c r="R328" s="299"/>
      <c r="S328" s="299"/>
      <c r="T328" s="299">
        <v>0</v>
      </c>
      <c r="U328" s="299"/>
      <c r="V328" s="299"/>
      <c r="W328" s="299"/>
      <c r="X328" s="165">
        <f>P328+Q328</f>
        <v>0</v>
      </c>
      <c r="Y328" s="301"/>
      <c r="Z328" s="288"/>
      <c r="AA328" s="316"/>
      <c r="AB328" s="391"/>
      <c r="AC328" s="316"/>
    </row>
    <row r="329" spans="1:29" hidden="1" x14ac:dyDescent="0.2">
      <c r="A329" s="263" t="s">
        <v>506</v>
      </c>
      <c r="B329" s="296" t="s">
        <v>130</v>
      </c>
      <c r="C329" s="297" t="s">
        <v>259</v>
      </c>
      <c r="D329" s="169" t="s">
        <v>232</v>
      </c>
      <c r="E329" s="298" t="s">
        <v>46</v>
      </c>
      <c r="F329" s="8" t="s">
        <v>73</v>
      </c>
      <c r="G329" s="8" t="s">
        <v>75</v>
      </c>
      <c r="H329" s="66">
        <v>0</v>
      </c>
      <c r="I329" s="31">
        <f t="shared" si="186"/>
        <v>0</v>
      </c>
      <c r="J329" s="66"/>
      <c r="K329" s="67"/>
      <c r="L329" s="67"/>
      <c r="M329" s="67">
        <v>0</v>
      </c>
      <c r="N329" s="33">
        <f>H329+I329</f>
        <v>0</v>
      </c>
      <c r="O329" s="66">
        <v>0</v>
      </c>
      <c r="P329" s="335">
        <v>0</v>
      </c>
      <c r="Q329" s="165">
        <f t="shared" ref="Q329:Q372" si="190">R329+S329+T329+U329+V329</f>
        <v>0</v>
      </c>
      <c r="R329" s="299"/>
      <c r="S329" s="299"/>
      <c r="T329" s="299">
        <v>0</v>
      </c>
      <c r="U329" s="299"/>
      <c r="V329" s="299"/>
      <c r="W329" s="299"/>
      <c r="X329" s="165">
        <f t="shared" si="188"/>
        <v>0</v>
      </c>
      <c r="Y329" s="301"/>
      <c r="Z329" s="288"/>
      <c r="AA329" s="316"/>
      <c r="AB329" s="391"/>
      <c r="AC329" s="316"/>
    </row>
    <row r="330" spans="1:29" ht="25.5" hidden="1" x14ac:dyDescent="0.2">
      <c r="A330" s="6" t="s">
        <v>452</v>
      </c>
      <c r="B330" s="296" t="s">
        <v>130</v>
      </c>
      <c r="C330" s="297" t="s">
        <v>259</v>
      </c>
      <c r="D330" s="169" t="s">
        <v>232</v>
      </c>
      <c r="E330" s="298" t="s">
        <v>46</v>
      </c>
      <c r="F330" s="297" t="s">
        <v>58</v>
      </c>
      <c r="G330" s="297" t="s">
        <v>64</v>
      </c>
      <c r="H330" s="165">
        <v>0</v>
      </c>
      <c r="I330" s="165">
        <f t="shared" si="186"/>
        <v>0</v>
      </c>
      <c r="J330" s="299"/>
      <c r="K330" s="300"/>
      <c r="L330" s="300">
        <v>0</v>
      </c>
      <c r="M330" s="300"/>
      <c r="N330" s="293">
        <f>H330+I330</f>
        <v>0</v>
      </c>
      <c r="O330" s="165">
        <v>0</v>
      </c>
      <c r="P330" s="260">
        <v>0</v>
      </c>
      <c r="Q330" s="165">
        <f t="shared" si="190"/>
        <v>0</v>
      </c>
      <c r="R330" s="165"/>
      <c r="S330" s="165"/>
      <c r="T330" s="165">
        <v>0</v>
      </c>
      <c r="U330" s="165"/>
      <c r="V330" s="165"/>
      <c r="W330" s="165"/>
      <c r="X330" s="165">
        <f t="shared" si="188"/>
        <v>0</v>
      </c>
      <c r="Y330" s="301"/>
      <c r="Z330" s="288"/>
      <c r="AA330" s="316"/>
      <c r="AB330" s="329"/>
      <c r="AC330" s="316"/>
    </row>
    <row r="331" spans="1:29" hidden="1" x14ac:dyDescent="0.2">
      <c r="A331" s="6" t="s">
        <v>261</v>
      </c>
      <c r="B331" s="296"/>
      <c r="C331" s="297"/>
      <c r="D331" s="169"/>
      <c r="E331" s="298"/>
      <c r="F331" s="297" t="s">
        <v>77</v>
      </c>
      <c r="G331" s="297" t="s">
        <v>262</v>
      </c>
      <c r="H331" s="299">
        <v>0</v>
      </c>
      <c r="I331" s="165">
        <f t="shared" si="186"/>
        <v>99151.63</v>
      </c>
      <c r="J331" s="299">
        <v>99151.63</v>
      </c>
      <c r="K331" s="300"/>
      <c r="L331" s="300"/>
      <c r="M331" s="300"/>
      <c r="N331" s="293">
        <f>H331+I331</f>
        <v>99151.63</v>
      </c>
      <c r="O331" s="299">
        <v>0</v>
      </c>
      <c r="P331" s="335">
        <v>0</v>
      </c>
      <c r="Q331" s="165">
        <f t="shared" si="190"/>
        <v>0</v>
      </c>
      <c r="R331" s="299"/>
      <c r="S331" s="299"/>
      <c r="T331" s="299"/>
      <c r="U331" s="299"/>
      <c r="V331" s="299"/>
      <c r="W331" s="299"/>
      <c r="X331" s="165">
        <f t="shared" si="188"/>
        <v>0</v>
      </c>
      <c r="Y331" s="301"/>
      <c r="Z331" s="288"/>
      <c r="AA331" s="316"/>
      <c r="AB331" s="391"/>
      <c r="AC331" s="316"/>
    </row>
    <row r="332" spans="1:29" hidden="1" x14ac:dyDescent="0.2">
      <c r="A332" s="6" t="s">
        <v>263</v>
      </c>
      <c r="B332" s="296" t="s">
        <v>130</v>
      </c>
      <c r="C332" s="297" t="s">
        <v>259</v>
      </c>
      <c r="D332" s="169" t="s">
        <v>264</v>
      </c>
      <c r="E332" s="298" t="s">
        <v>46</v>
      </c>
      <c r="F332" s="297" t="s">
        <v>58</v>
      </c>
      <c r="G332" s="297" t="s">
        <v>64</v>
      </c>
      <c r="H332" s="299">
        <v>0</v>
      </c>
      <c r="I332" s="165">
        <f t="shared" si="186"/>
        <v>-21013.45</v>
      </c>
      <c r="J332" s="299">
        <v>-21013.45</v>
      </c>
      <c r="K332" s="300">
        <v>0</v>
      </c>
      <c r="L332" s="300">
        <v>0</v>
      </c>
      <c r="M332" s="300">
        <v>0</v>
      </c>
      <c r="N332" s="293">
        <f t="shared" si="187"/>
        <v>-21013.45</v>
      </c>
      <c r="O332" s="299">
        <v>0</v>
      </c>
      <c r="P332" s="335">
        <v>0</v>
      </c>
      <c r="Q332" s="165">
        <f t="shared" si="190"/>
        <v>0</v>
      </c>
      <c r="R332" s="299"/>
      <c r="S332" s="299"/>
      <c r="T332" s="299"/>
      <c r="U332" s="299"/>
      <c r="V332" s="299"/>
      <c r="W332" s="299"/>
      <c r="X332" s="165">
        <f t="shared" si="188"/>
        <v>0</v>
      </c>
      <c r="Y332" s="301"/>
      <c r="Z332" s="288"/>
      <c r="AA332" s="316"/>
      <c r="AB332" s="391"/>
      <c r="AC332" s="316"/>
    </row>
    <row r="333" spans="1:29" ht="25.5" hidden="1" x14ac:dyDescent="0.2">
      <c r="A333" s="6" t="s">
        <v>198</v>
      </c>
      <c r="B333" s="296" t="s">
        <v>130</v>
      </c>
      <c r="C333" s="297" t="s">
        <v>259</v>
      </c>
      <c r="D333" s="169" t="s">
        <v>265</v>
      </c>
      <c r="E333" s="298" t="s">
        <v>46</v>
      </c>
      <c r="F333" s="297" t="s">
        <v>58</v>
      </c>
      <c r="G333" s="297" t="s">
        <v>64</v>
      </c>
      <c r="H333" s="299">
        <v>0</v>
      </c>
      <c r="I333" s="165">
        <f t="shared" si="186"/>
        <v>114400</v>
      </c>
      <c r="J333" s="299"/>
      <c r="K333" s="300">
        <f>124000-9600</f>
        <v>114400</v>
      </c>
      <c r="L333" s="300"/>
      <c r="M333" s="300"/>
      <c r="N333" s="293">
        <f t="shared" si="187"/>
        <v>114400</v>
      </c>
      <c r="O333" s="299">
        <v>0</v>
      </c>
      <c r="P333" s="335">
        <v>0</v>
      </c>
      <c r="Q333" s="165">
        <f t="shared" si="190"/>
        <v>0</v>
      </c>
      <c r="R333" s="299"/>
      <c r="S333" s="299"/>
      <c r="T333" s="299"/>
      <c r="U333" s="299"/>
      <c r="V333" s="299"/>
      <c r="W333" s="299"/>
      <c r="X333" s="165">
        <f t="shared" si="188"/>
        <v>0</v>
      </c>
      <c r="Y333" s="301"/>
      <c r="Z333" s="288"/>
      <c r="AA333" s="316"/>
      <c r="AB333" s="391"/>
      <c r="AC333" s="316"/>
    </row>
    <row r="334" spans="1:29" ht="25.5" hidden="1" x14ac:dyDescent="0.2">
      <c r="A334" s="6" t="s">
        <v>547</v>
      </c>
      <c r="B334" s="296" t="s">
        <v>130</v>
      </c>
      <c r="C334" s="297" t="s">
        <v>259</v>
      </c>
      <c r="D334" s="169" t="s">
        <v>232</v>
      </c>
      <c r="E334" s="298" t="s">
        <v>46</v>
      </c>
      <c r="F334" s="297" t="s">
        <v>58</v>
      </c>
      <c r="G334" s="297" t="s">
        <v>64</v>
      </c>
      <c r="H334" s="299"/>
      <c r="I334" s="165"/>
      <c r="J334" s="299"/>
      <c r="K334" s="300"/>
      <c r="L334" s="300"/>
      <c r="M334" s="300"/>
      <c r="N334" s="293"/>
      <c r="O334" s="299"/>
      <c r="P334" s="335"/>
      <c r="Q334" s="165">
        <f t="shared" si="190"/>
        <v>0</v>
      </c>
      <c r="R334" s="299"/>
      <c r="S334" s="299"/>
      <c r="T334" s="299">
        <v>0</v>
      </c>
      <c r="U334" s="299"/>
      <c r="V334" s="299"/>
      <c r="W334" s="299"/>
      <c r="X334" s="165">
        <f t="shared" si="188"/>
        <v>0</v>
      </c>
      <c r="Y334" s="301"/>
      <c r="Z334" s="288"/>
      <c r="AA334" s="316"/>
      <c r="AB334" s="391"/>
      <c r="AC334" s="316"/>
    </row>
    <row r="335" spans="1:29" ht="45.75" hidden="1" customHeight="1" x14ac:dyDescent="0.2">
      <c r="A335" s="6" t="s">
        <v>453</v>
      </c>
      <c r="B335" s="296" t="s">
        <v>130</v>
      </c>
      <c r="C335" s="297" t="s">
        <v>259</v>
      </c>
      <c r="D335" s="169" t="s">
        <v>232</v>
      </c>
      <c r="E335" s="298" t="s">
        <v>46</v>
      </c>
      <c r="F335" s="297" t="s">
        <v>58</v>
      </c>
      <c r="G335" s="297" t="s">
        <v>64</v>
      </c>
      <c r="H335" s="299"/>
      <c r="I335" s="165"/>
      <c r="J335" s="299"/>
      <c r="K335" s="300"/>
      <c r="L335" s="300"/>
      <c r="M335" s="300"/>
      <c r="N335" s="293"/>
      <c r="O335" s="299"/>
      <c r="P335" s="335">
        <v>0</v>
      </c>
      <c r="Q335" s="165">
        <f t="shared" si="190"/>
        <v>0</v>
      </c>
      <c r="R335" s="299"/>
      <c r="S335" s="299"/>
      <c r="T335" s="299">
        <v>0</v>
      </c>
      <c r="U335" s="299"/>
      <c r="V335" s="299"/>
      <c r="W335" s="299"/>
      <c r="X335" s="165">
        <f t="shared" si="188"/>
        <v>0</v>
      </c>
      <c r="Y335" s="165"/>
      <c r="Z335" s="329"/>
      <c r="AA335" s="331"/>
      <c r="AB335" s="391"/>
      <c r="AC335" s="316"/>
    </row>
    <row r="336" spans="1:29" ht="51" hidden="1" customHeight="1" x14ac:dyDescent="0.2">
      <c r="A336" s="263" t="s">
        <v>454</v>
      </c>
      <c r="B336" s="296" t="s">
        <v>130</v>
      </c>
      <c r="C336" s="297" t="s">
        <v>259</v>
      </c>
      <c r="D336" s="169" t="s">
        <v>232</v>
      </c>
      <c r="E336" s="298" t="s">
        <v>46</v>
      </c>
      <c r="F336" s="297" t="s">
        <v>58</v>
      </c>
      <c r="G336" s="297" t="s">
        <v>64</v>
      </c>
      <c r="H336" s="299">
        <v>400000</v>
      </c>
      <c r="I336" s="165">
        <f t="shared" si="186"/>
        <v>9600</v>
      </c>
      <c r="J336" s="299"/>
      <c r="K336" s="300">
        <v>9600</v>
      </c>
      <c r="L336" s="300"/>
      <c r="M336" s="300"/>
      <c r="N336" s="293">
        <f t="shared" si="187"/>
        <v>409600</v>
      </c>
      <c r="O336" s="299">
        <v>0</v>
      </c>
      <c r="P336" s="335">
        <v>0</v>
      </c>
      <c r="Q336" s="165">
        <f t="shared" si="190"/>
        <v>0</v>
      </c>
      <c r="R336" s="299"/>
      <c r="S336" s="299"/>
      <c r="T336" s="299"/>
      <c r="U336" s="299"/>
      <c r="V336" s="299"/>
      <c r="W336" s="299"/>
      <c r="X336" s="165">
        <f t="shared" si="188"/>
        <v>0</v>
      </c>
      <c r="Y336" s="165"/>
      <c r="Z336" s="329"/>
      <c r="AA336" s="331"/>
      <c r="AB336" s="391"/>
      <c r="AC336" s="316"/>
    </row>
    <row r="337" spans="1:29" ht="42" hidden="1" customHeight="1" x14ac:dyDescent="0.2">
      <c r="A337" s="264" t="s">
        <v>455</v>
      </c>
      <c r="B337" s="138" t="s">
        <v>130</v>
      </c>
      <c r="C337" s="8" t="s">
        <v>259</v>
      </c>
      <c r="D337" s="169" t="s">
        <v>232</v>
      </c>
      <c r="E337" s="9" t="s">
        <v>46</v>
      </c>
      <c r="F337" s="8" t="s">
        <v>51</v>
      </c>
      <c r="G337" s="8" t="s">
        <v>56</v>
      </c>
      <c r="H337" s="31">
        <v>200000</v>
      </c>
      <c r="I337" s="31">
        <f t="shared" si="186"/>
        <v>-94507.839999999997</v>
      </c>
      <c r="J337" s="66"/>
      <c r="K337" s="67"/>
      <c r="L337" s="67">
        <v>0</v>
      </c>
      <c r="M337" s="67">
        <v>-94507.839999999997</v>
      </c>
      <c r="N337" s="32">
        <f t="shared" si="187"/>
        <v>105492.16</v>
      </c>
      <c r="O337" s="31">
        <v>0</v>
      </c>
      <c r="P337" s="260">
        <v>0</v>
      </c>
      <c r="Q337" s="165">
        <f t="shared" si="190"/>
        <v>0</v>
      </c>
      <c r="R337" s="165"/>
      <c r="S337" s="299"/>
      <c r="T337" s="299">
        <v>0</v>
      </c>
      <c r="U337" s="299"/>
      <c r="V337" s="299"/>
      <c r="W337" s="299"/>
      <c r="X337" s="165">
        <f t="shared" si="188"/>
        <v>0</v>
      </c>
      <c r="Y337" s="165"/>
      <c r="Z337" s="329"/>
      <c r="AA337" s="331"/>
      <c r="AB337" s="329"/>
      <c r="AC337" s="316"/>
    </row>
    <row r="338" spans="1:29" ht="42" hidden="1" customHeight="1" x14ac:dyDescent="0.2">
      <c r="A338" s="264" t="s">
        <v>502</v>
      </c>
      <c r="B338" s="296" t="s">
        <v>130</v>
      </c>
      <c r="C338" s="297" t="s">
        <v>259</v>
      </c>
      <c r="D338" s="169" t="s">
        <v>232</v>
      </c>
      <c r="E338" s="298" t="s">
        <v>46</v>
      </c>
      <c r="F338" s="297" t="s">
        <v>58</v>
      </c>
      <c r="G338" s="297" t="s">
        <v>64</v>
      </c>
      <c r="H338" s="31"/>
      <c r="I338" s="31"/>
      <c r="J338" s="66"/>
      <c r="K338" s="67"/>
      <c r="L338" s="67"/>
      <c r="M338" s="67"/>
      <c r="N338" s="32"/>
      <c r="O338" s="31"/>
      <c r="P338" s="260">
        <v>0</v>
      </c>
      <c r="Q338" s="165">
        <f t="shared" si="190"/>
        <v>0</v>
      </c>
      <c r="R338" s="165"/>
      <c r="S338" s="299"/>
      <c r="T338" s="299"/>
      <c r="U338" s="299"/>
      <c r="V338" s="299"/>
      <c r="W338" s="299"/>
      <c r="X338" s="165">
        <f t="shared" si="188"/>
        <v>0</v>
      </c>
      <c r="Y338" s="165"/>
      <c r="Z338" s="329"/>
      <c r="AA338" s="331"/>
      <c r="AB338" s="329"/>
      <c r="AC338" s="316"/>
    </row>
    <row r="339" spans="1:29" ht="52.5" hidden="1" customHeight="1" x14ac:dyDescent="0.2">
      <c r="A339" s="264" t="s">
        <v>474</v>
      </c>
      <c r="B339" s="138" t="s">
        <v>130</v>
      </c>
      <c r="C339" s="8" t="s">
        <v>259</v>
      </c>
      <c r="D339" s="30" t="s">
        <v>449</v>
      </c>
      <c r="E339" s="9" t="s">
        <v>46</v>
      </c>
      <c r="F339" s="8" t="s">
        <v>51</v>
      </c>
      <c r="G339" s="8" t="s">
        <v>101</v>
      </c>
      <c r="H339" s="31">
        <v>400000</v>
      </c>
      <c r="I339" s="31"/>
      <c r="J339" s="66"/>
      <c r="K339" s="67"/>
      <c r="L339" s="67"/>
      <c r="M339" s="67"/>
      <c r="N339" s="32"/>
      <c r="O339" s="31"/>
      <c r="P339" s="260">
        <v>0</v>
      </c>
      <c r="Q339" s="165">
        <f t="shared" si="190"/>
        <v>0</v>
      </c>
      <c r="R339" s="165"/>
      <c r="S339" s="299"/>
      <c r="T339" s="299"/>
      <c r="U339" s="299"/>
      <c r="V339" s="299"/>
      <c r="W339" s="299"/>
      <c r="X339" s="165">
        <f t="shared" si="188"/>
        <v>0</v>
      </c>
      <c r="Y339" s="165"/>
      <c r="Z339" s="329"/>
      <c r="AA339" s="331"/>
      <c r="AB339" s="329"/>
      <c r="AC339" s="316"/>
    </row>
    <row r="340" spans="1:29" ht="50.25" hidden="1" customHeight="1" x14ac:dyDescent="0.2">
      <c r="A340" s="330" t="s">
        <v>482</v>
      </c>
      <c r="B340" s="138" t="s">
        <v>130</v>
      </c>
      <c r="C340" s="8" t="s">
        <v>259</v>
      </c>
      <c r="D340" s="30" t="s">
        <v>475</v>
      </c>
      <c r="E340" s="9" t="s">
        <v>46</v>
      </c>
      <c r="F340" s="8" t="s">
        <v>51</v>
      </c>
      <c r="G340" s="8" t="s">
        <v>101</v>
      </c>
      <c r="H340" s="66">
        <f>60000+100000</f>
        <v>160000</v>
      </c>
      <c r="I340" s="31">
        <f t="shared" si="186"/>
        <v>0</v>
      </c>
      <c r="J340" s="66"/>
      <c r="K340" s="67"/>
      <c r="L340" s="67">
        <v>0</v>
      </c>
      <c r="M340" s="67"/>
      <c r="N340" s="33">
        <f t="shared" si="187"/>
        <v>160000</v>
      </c>
      <c r="O340" s="66">
        <v>0</v>
      </c>
      <c r="P340" s="335">
        <v>0</v>
      </c>
      <c r="Q340" s="165">
        <f t="shared" si="190"/>
        <v>0</v>
      </c>
      <c r="R340" s="299">
        <v>0</v>
      </c>
      <c r="S340" s="299"/>
      <c r="T340" s="299"/>
      <c r="U340" s="299"/>
      <c r="V340" s="299"/>
      <c r="W340" s="299"/>
      <c r="X340" s="165">
        <f t="shared" si="188"/>
        <v>0</v>
      </c>
      <c r="Y340" s="165"/>
      <c r="Z340" s="329"/>
      <c r="AA340" s="331"/>
      <c r="AB340" s="391"/>
      <c r="AC340" s="316"/>
    </row>
    <row r="341" spans="1:29" ht="50.25" hidden="1" customHeight="1" x14ac:dyDescent="0.2">
      <c r="A341" s="330" t="s">
        <v>539</v>
      </c>
      <c r="B341" s="138" t="s">
        <v>130</v>
      </c>
      <c r="C341" s="8" t="s">
        <v>259</v>
      </c>
      <c r="D341" s="30" t="s">
        <v>475</v>
      </c>
      <c r="E341" s="9" t="s">
        <v>46</v>
      </c>
      <c r="F341" s="8" t="s">
        <v>51</v>
      </c>
      <c r="G341" s="8" t="s">
        <v>53</v>
      </c>
      <c r="H341" s="66"/>
      <c r="I341" s="31"/>
      <c r="J341" s="66"/>
      <c r="K341" s="67"/>
      <c r="L341" s="67"/>
      <c r="M341" s="67"/>
      <c r="N341" s="33"/>
      <c r="O341" s="66"/>
      <c r="P341" s="335">
        <v>0</v>
      </c>
      <c r="Q341" s="165">
        <f t="shared" si="190"/>
        <v>0</v>
      </c>
      <c r="R341" s="299">
        <v>0</v>
      </c>
      <c r="S341" s="299"/>
      <c r="T341" s="299"/>
      <c r="U341" s="299"/>
      <c r="V341" s="299"/>
      <c r="W341" s="299"/>
      <c r="X341" s="165">
        <f t="shared" si="188"/>
        <v>0</v>
      </c>
      <c r="Y341" s="165"/>
      <c r="Z341" s="329"/>
      <c r="AA341" s="331"/>
      <c r="AB341" s="391"/>
      <c r="AC341" s="316"/>
    </row>
    <row r="342" spans="1:29" ht="50.25" hidden="1" customHeight="1" x14ac:dyDescent="0.2">
      <c r="A342" s="263" t="s">
        <v>481</v>
      </c>
      <c r="B342" s="138" t="s">
        <v>130</v>
      </c>
      <c r="C342" s="8" t="s">
        <v>259</v>
      </c>
      <c r="D342" s="30" t="s">
        <v>232</v>
      </c>
      <c r="E342" s="9" t="s">
        <v>46</v>
      </c>
      <c r="F342" s="8" t="s">
        <v>476</v>
      </c>
      <c r="G342" s="8"/>
      <c r="H342" s="66"/>
      <c r="I342" s="31"/>
      <c r="J342" s="66"/>
      <c r="K342" s="67"/>
      <c r="L342" s="67"/>
      <c r="M342" s="67"/>
      <c r="N342" s="33"/>
      <c r="O342" s="66"/>
      <c r="P342" s="335">
        <v>0</v>
      </c>
      <c r="Q342" s="165">
        <f t="shared" si="190"/>
        <v>0</v>
      </c>
      <c r="R342" s="299"/>
      <c r="S342" s="299"/>
      <c r="T342" s="299"/>
      <c r="U342" s="299"/>
      <c r="V342" s="299"/>
      <c r="W342" s="299"/>
      <c r="X342" s="165">
        <f t="shared" si="188"/>
        <v>0</v>
      </c>
      <c r="Y342" s="165"/>
      <c r="Z342" s="329"/>
      <c r="AA342" s="331"/>
      <c r="AB342" s="391"/>
      <c r="AC342" s="316"/>
    </row>
    <row r="343" spans="1:29" ht="56.25" hidden="1" customHeight="1" x14ac:dyDescent="0.2">
      <c r="A343" s="330" t="s">
        <v>489</v>
      </c>
      <c r="B343" s="138" t="s">
        <v>130</v>
      </c>
      <c r="C343" s="8" t="s">
        <v>259</v>
      </c>
      <c r="D343" s="30" t="s">
        <v>232</v>
      </c>
      <c r="E343" s="9" t="s">
        <v>46</v>
      </c>
      <c r="F343" s="8" t="s">
        <v>51</v>
      </c>
      <c r="G343" s="8" t="s">
        <v>53</v>
      </c>
      <c r="H343" s="66"/>
      <c r="I343" s="31"/>
      <c r="J343" s="66"/>
      <c r="K343" s="67"/>
      <c r="L343" s="67"/>
      <c r="M343" s="67"/>
      <c r="N343" s="33"/>
      <c r="O343" s="66"/>
      <c r="P343" s="335">
        <v>0</v>
      </c>
      <c r="Q343" s="165">
        <f t="shared" si="190"/>
        <v>0</v>
      </c>
      <c r="R343" s="299"/>
      <c r="S343" s="299"/>
      <c r="T343" s="299"/>
      <c r="U343" s="299"/>
      <c r="V343" s="299"/>
      <c r="W343" s="299"/>
      <c r="X343" s="165">
        <f t="shared" si="188"/>
        <v>0</v>
      </c>
      <c r="Y343" s="165"/>
      <c r="Z343" s="329"/>
      <c r="AA343" s="329"/>
      <c r="AB343" s="391"/>
      <c r="AC343" s="316"/>
    </row>
    <row r="344" spans="1:29" ht="48.75" hidden="1" customHeight="1" x14ac:dyDescent="0.2">
      <c r="A344" s="53" t="s">
        <v>386</v>
      </c>
      <c r="B344" s="138" t="s">
        <v>130</v>
      </c>
      <c r="C344" s="8" t="s">
        <v>259</v>
      </c>
      <c r="D344" s="30" t="s">
        <v>266</v>
      </c>
      <c r="E344" s="9" t="s">
        <v>46</v>
      </c>
      <c r="F344" s="8" t="s">
        <v>73</v>
      </c>
      <c r="G344" s="8" t="s">
        <v>75</v>
      </c>
      <c r="H344" s="63">
        <f>374800+465200</f>
        <v>840000</v>
      </c>
      <c r="I344" s="63">
        <f>SUM(J344:M344)</f>
        <v>0</v>
      </c>
      <c r="J344" s="63"/>
      <c r="K344" s="64"/>
      <c r="L344" s="64">
        <v>0</v>
      </c>
      <c r="M344" s="64"/>
      <c r="N344" s="106">
        <f>H344+I344</f>
        <v>840000</v>
      </c>
      <c r="O344" s="63">
        <f>400000*80%</f>
        <v>320000</v>
      </c>
      <c r="P344" s="262">
        <v>0</v>
      </c>
      <c r="Q344" s="165">
        <f t="shared" si="190"/>
        <v>0</v>
      </c>
      <c r="R344" s="299">
        <v>0</v>
      </c>
      <c r="S344" s="299"/>
      <c r="T344" s="299"/>
      <c r="U344" s="299"/>
      <c r="V344" s="299"/>
      <c r="W344" s="299"/>
      <c r="X344" s="165">
        <f t="shared" si="188"/>
        <v>0</v>
      </c>
      <c r="Y344" s="165"/>
      <c r="Z344" s="329"/>
      <c r="AA344" s="331"/>
      <c r="AB344" s="391"/>
      <c r="AC344" s="316"/>
    </row>
    <row r="345" spans="1:29" ht="39" hidden="1" customHeight="1" x14ac:dyDescent="0.2">
      <c r="A345" s="53" t="s">
        <v>387</v>
      </c>
      <c r="B345" s="138" t="s">
        <v>130</v>
      </c>
      <c r="C345" s="8" t="s">
        <v>259</v>
      </c>
      <c r="D345" s="30" t="s">
        <v>266</v>
      </c>
      <c r="E345" s="9" t="s">
        <v>46</v>
      </c>
      <c r="F345" s="8" t="s">
        <v>58</v>
      </c>
      <c r="G345" s="8" t="s">
        <v>64</v>
      </c>
      <c r="H345" s="63">
        <f>374800+465200</f>
        <v>840000</v>
      </c>
      <c r="I345" s="63">
        <f>SUM(J345:M345)</f>
        <v>0</v>
      </c>
      <c r="J345" s="63"/>
      <c r="K345" s="64"/>
      <c r="L345" s="64">
        <v>0</v>
      </c>
      <c r="M345" s="64"/>
      <c r="N345" s="106">
        <f>H345+I345</f>
        <v>840000</v>
      </c>
      <c r="O345" s="63">
        <f>400000*80%</f>
        <v>320000</v>
      </c>
      <c r="P345" s="262">
        <v>0</v>
      </c>
      <c r="Q345" s="165">
        <f t="shared" si="190"/>
        <v>0</v>
      </c>
      <c r="R345" s="163">
        <v>0</v>
      </c>
      <c r="S345" s="165"/>
      <c r="T345" s="299"/>
      <c r="U345" s="299"/>
      <c r="V345" s="299"/>
      <c r="W345" s="299"/>
      <c r="X345" s="165">
        <f t="shared" si="188"/>
        <v>0</v>
      </c>
      <c r="Y345" s="165"/>
      <c r="Z345" s="329"/>
      <c r="AA345" s="331"/>
      <c r="AB345" s="332"/>
      <c r="AC345" s="316"/>
    </row>
    <row r="346" spans="1:29" ht="39" hidden="1" customHeight="1" x14ac:dyDescent="0.2">
      <c r="A346" s="53" t="s">
        <v>416</v>
      </c>
      <c r="B346" s="138" t="s">
        <v>130</v>
      </c>
      <c r="C346" s="8" t="s">
        <v>259</v>
      </c>
      <c r="D346" s="30" t="s">
        <v>266</v>
      </c>
      <c r="E346" s="9" t="s">
        <v>46</v>
      </c>
      <c r="F346" s="8" t="s">
        <v>51</v>
      </c>
      <c r="G346" s="8" t="s">
        <v>101</v>
      </c>
      <c r="H346" s="63">
        <f>374800+465200</f>
        <v>840000</v>
      </c>
      <c r="I346" s="63">
        <f>SUM(J346:M346)</f>
        <v>0</v>
      </c>
      <c r="J346" s="63"/>
      <c r="K346" s="64"/>
      <c r="L346" s="64">
        <v>0</v>
      </c>
      <c r="M346" s="64"/>
      <c r="N346" s="106">
        <f>H346+I346</f>
        <v>840000</v>
      </c>
      <c r="O346" s="63">
        <f>400000*80%</f>
        <v>320000</v>
      </c>
      <c r="P346" s="262">
        <v>0</v>
      </c>
      <c r="Q346" s="165">
        <f t="shared" si="190"/>
        <v>0</v>
      </c>
      <c r="R346" s="163">
        <v>0</v>
      </c>
      <c r="S346" s="165"/>
      <c r="T346" s="299"/>
      <c r="U346" s="299"/>
      <c r="V346" s="299"/>
      <c r="W346" s="299"/>
      <c r="X346" s="165">
        <f t="shared" si="188"/>
        <v>0</v>
      </c>
      <c r="Y346" s="165"/>
      <c r="Z346" s="329"/>
      <c r="AA346" s="331"/>
      <c r="AB346" s="332"/>
      <c r="AC346" s="316"/>
    </row>
    <row r="347" spans="1:29" ht="39" hidden="1" customHeight="1" x14ac:dyDescent="0.2">
      <c r="A347" s="53" t="s">
        <v>416</v>
      </c>
      <c r="B347" s="138" t="s">
        <v>130</v>
      </c>
      <c r="C347" s="8" t="s">
        <v>259</v>
      </c>
      <c r="D347" s="30" t="s">
        <v>266</v>
      </c>
      <c r="E347" s="9" t="s">
        <v>46</v>
      </c>
      <c r="F347" s="8" t="s">
        <v>58</v>
      </c>
      <c r="G347" s="8" t="s">
        <v>64</v>
      </c>
      <c r="H347" s="63"/>
      <c r="I347" s="63"/>
      <c r="J347" s="63"/>
      <c r="K347" s="64"/>
      <c r="L347" s="64"/>
      <c r="M347" s="64"/>
      <c r="N347" s="106"/>
      <c r="O347" s="63"/>
      <c r="P347" s="262">
        <v>0</v>
      </c>
      <c r="Q347" s="165">
        <f t="shared" si="190"/>
        <v>0</v>
      </c>
      <c r="R347" s="163">
        <v>0</v>
      </c>
      <c r="S347" s="165"/>
      <c r="T347" s="299"/>
      <c r="U347" s="299"/>
      <c r="V347" s="299"/>
      <c r="W347" s="299"/>
      <c r="X347" s="165">
        <f t="shared" si="188"/>
        <v>0</v>
      </c>
      <c r="Y347" s="165"/>
      <c r="Z347" s="329"/>
      <c r="AA347" s="331"/>
      <c r="AB347" s="332"/>
      <c r="AC347" s="316"/>
    </row>
    <row r="348" spans="1:29" ht="30" hidden="1" customHeight="1" x14ac:dyDescent="0.2">
      <c r="A348" s="53" t="s">
        <v>483</v>
      </c>
      <c r="B348" s="138" t="s">
        <v>130</v>
      </c>
      <c r="C348" s="8" t="s">
        <v>259</v>
      </c>
      <c r="D348" s="30" t="s">
        <v>232</v>
      </c>
      <c r="E348" s="9" t="s">
        <v>46</v>
      </c>
      <c r="F348" s="8" t="s">
        <v>58</v>
      </c>
      <c r="G348" s="8" t="s">
        <v>64</v>
      </c>
      <c r="H348" s="31">
        <v>0</v>
      </c>
      <c r="I348" s="31"/>
      <c r="J348" s="31"/>
      <c r="K348" s="32"/>
      <c r="L348" s="32"/>
      <c r="M348" s="32"/>
      <c r="N348" s="33"/>
      <c r="O348" s="31"/>
      <c r="P348" s="260">
        <v>0</v>
      </c>
      <c r="Q348" s="165">
        <f t="shared" si="190"/>
        <v>0</v>
      </c>
      <c r="R348" s="165"/>
      <c r="S348" s="299"/>
      <c r="T348" s="299"/>
      <c r="U348" s="299"/>
      <c r="V348" s="299"/>
      <c r="W348" s="299"/>
      <c r="X348" s="165">
        <f t="shared" si="188"/>
        <v>0</v>
      </c>
      <c r="Y348" s="165"/>
      <c r="Z348" s="329"/>
      <c r="AA348" s="331"/>
      <c r="AB348" s="329"/>
      <c r="AC348" s="316"/>
    </row>
    <row r="349" spans="1:29" ht="38.25" hidden="1" customHeight="1" x14ac:dyDescent="0.2">
      <c r="A349" s="53" t="s">
        <v>417</v>
      </c>
      <c r="B349" s="138" t="s">
        <v>130</v>
      </c>
      <c r="C349" s="8" t="s">
        <v>259</v>
      </c>
      <c r="D349" s="30" t="s">
        <v>269</v>
      </c>
      <c r="E349" s="9" t="s">
        <v>46</v>
      </c>
      <c r="F349" s="8" t="s">
        <v>51</v>
      </c>
      <c r="G349" s="8" t="s">
        <v>101</v>
      </c>
      <c r="H349" s="63">
        <f>374800+465200</f>
        <v>840000</v>
      </c>
      <c r="I349" s="63">
        <f>SUM(J349:M349)</f>
        <v>0</v>
      </c>
      <c r="J349" s="63"/>
      <c r="K349" s="64"/>
      <c r="L349" s="64">
        <v>0</v>
      </c>
      <c r="M349" s="64"/>
      <c r="N349" s="106">
        <f>H349+I349</f>
        <v>840000</v>
      </c>
      <c r="O349" s="63">
        <f>400000*80%</f>
        <v>320000</v>
      </c>
      <c r="P349" s="262">
        <v>0</v>
      </c>
      <c r="Q349" s="165">
        <f t="shared" si="190"/>
        <v>0</v>
      </c>
      <c r="R349" s="165">
        <v>0</v>
      </c>
      <c r="S349" s="299"/>
      <c r="T349" s="299"/>
      <c r="U349" s="299"/>
      <c r="V349" s="299"/>
      <c r="W349" s="299"/>
      <c r="X349" s="165">
        <f t="shared" si="188"/>
        <v>0</v>
      </c>
      <c r="Y349" s="165"/>
      <c r="Z349" s="329"/>
      <c r="AA349" s="331"/>
      <c r="AB349" s="329"/>
      <c r="AC349" s="316"/>
    </row>
    <row r="350" spans="1:29" s="316" customFormat="1" ht="38.25" customHeight="1" x14ac:dyDescent="0.2">
      <c r="A350" s="53" t="s">
        <v>564</v>
      </c>
      <c r="B350" s="296" t="s">
        <v>130</v>
      </c>
      <c r="C350" s="297" t="s">
        <v>259</v>
      </c>
      <c r="D350" s="169" t="s">
        <v>451</v>
      </c>
      <c r="E350" s="298" t="s">
        <v>46</v>
      </c>
      <c r="F350" s="297" t="s">
        <v>51</v>
      </c>
      <c r="G350" s="297" t="s">
        <v>101</v>
      </c>
      <c r="H350" s="163"/>
      <c r="I350" s="163"/>
      <c r="J350" s="163"/>
      <c r="K350" s="292"/>
      <c r="L350" s="292"/>
      <c r="M350" s="292"/>
      <c r="N350" s="238"/>
      <c r="O350" s="163"/>
      <c r="P350" s="262">
        <v>75000</v>
      </c>
      <c r="Q350" s="165">
        <f t="shared" si="190"/>
        <v>7500</v>
      </c>
      <c r="R350" s="165">
        <v>0</v>
      </c>
      <c r="S350" s="299"/>
      <c r="T350" s="299"/>
      <c r="U350" s="299">
        <v>7500</v>
      </c>
      <c r="V350" s="299"/>
      <c r="W350" s="299"/>
      <c r="X350" s="165">
        <f t="shared" si="188"/>
        <v>82500</v>
      </c>
      <c r="Y350" s="301" t="s">
        <v>595</v>
      </c>
      <c r="Z350" s="329"/>
      <c r="AA350" s="331"/>
      <c r="AB350" s="329"/>
    </row>
    <row r="351" spans="1:29" ht="24.75" hidden="1" customHeight="1" x14ac:dyDescent="0.2">
      <c r="A351" s="53" t="s">
        <v>492</v>
      </c>
      <c r="B351" s="138" t="s">
        <v>130</v>
      </c>
      <c r="C351" s="8" t="s">
        <v>259</v>
      </c>
      <c r="D351" s="30" t="s">
        <v>472</v>
      </c>
      <c r="E351" s="9" t="s">
        <v>46</v>
      </c>
      <c r="F351" s="8" t="s">
        <v>58</v>
      </c>
      <c r="G351" s="8" t="s">
        <v>64</v>
      </c>
      <c r="H351" s="63">
        <f>374800+465200</f>
        <v>840000</v>
      </c>
      <c r="I351" s="63">
        <f>SUM(J351:M351)</f>
        <v>0</v>
      </c>
      <c r="J351" s="63"/>
      <c r="K351" s="64"/>
      <c r="L351" s="64">
        <v>0</v>
      </c>
      <c r="M351" s="64"/>
      <c r="N351" s="106">
        <f>H351+I351</f>
        <v>840000</v>
      </c>
      <c r="O351" s="63">
        <f>400000*80%</f>
        <v>320000</v>
      </c>
      <c r="P351" s="262">
        <v>0</v>
      </c>
      <c r="Q351" s="165">
        <f t="shared" si="190"/>
        <v>0</v>
      </c>
      <c r="R351" s="165"/>
      <c r="S351" s="299"/>
      <c r="T351" s="299"/>
      <c r="U351" s="299"/>
      <c r="V351" s="299"/>
      <c r="W351" s="299"/>
      <c r="X351" s="165">
        <f t="shared" si="188"/>
        <v>0</v>
      </c>
      <c r="Y351" s="165"/>
      <c r="Z351" s="329"/>
      <c r="AA351" s="331"/>
      <c r="AB351" s="329"/>
      <c r="AC351" s="316"/>
    </row>
    <row r="352" spans="1:29" ht="42.75" hidden="1" customHeight="1" x14ac:dyDescent="0.2">
      <c r="A352" s="53" t="s">
        <v>492</v>
      </c>
      <c r="B352" s="138" t="s">
        <v>130</v>
      </c>
      <c r="C352" s="8" t="s">
        <v>259</v>
      </c>
      <c r="D352" s="30" t="s">
        <v>472</v>
      </c>
      <c r="E352" s="9" t="s">
        <v>46</v>
      </c>
      <c r="F352" s="8" t="s">
        <v>73</v>
      </c>
      <c r="G352" s="8" t="s">
        <v>75</v>
      </c>
      <c r="H352" s="31"/>
      <c r="I352" s="31"/>
      <c r="J352" s="31"/>
      <c r="K352" s="32"/>
      <c r="L352" s="32"/>
      <c r="M352" s="32"/>
      <c r="N352" s="33"/>
      <c r="O352" s="31"/>
      <c r="P352" s="260">
        <v>0</v>
      </c>
      <c r="Q352" s="165">
        <f t="shared" si="190"/>
        <v>0</v>
      </c>
      <c r="R352" s="165"/>
      <c r="S352" s="299"/>
      <c r="T352" s="299"/>
      <c r="U352" s="299"/>
      <c r="V352" s="299"/>
      <c r="W352" s="299"/>
      <c r="X352" s="165">
        <f t="shared" si="188"/>
        <v>0</v>
      </c>
      <c r="Y352" s="165"/>
      <c r="Z352" s="329"/>
      <c r="AA352" s="331"/>
      <c r="AB352" s="329"/>
      <c r="AC352" s="316"/>
    </row>
    <row r="353" spans="1:29" ht="35.25" customHeight="1" x14ac:dyDescent="0.2">
      <c r="A353" s="264" t="s">
        <v>570</v>
      </c>
      <c r="B353" s="296" t="s">
        <v>130</v>
      </c>
      <c r="C353" s="297" t="s">
        <v>259</v>
      </c>
      <c r="D353" s="169" t="s">
        <v>232</v>
      </c>
      <c r="E353" s="298" t="s">
        <v>46</v>
      </c>
      <c r="F353" s="297" t="s">
        <v>51</v>
      </c>
      <c r="G353" s="297" t="s">
        <v>56</v>
      </c>
      <c r="H353" s="165"/>
      <c r="I353" s="165"/>
      <c r="J353" s="165"/>
      <c r="K353" s="301"/>
      <c r="L353" s="301"/>
      <c r="M353" s="301"/>
      <c r="N353" s="293"/>
      <c r="O353" s="165"/>
      <c r="P353" s="260">
        <v>1999000.61</v>
      </c>
      <c r="Q353" s="165">
        <f t="shared" si="190"/>
        <v>0</v>
      </c>
      <c r="R353" s="165">
        <v>0</v>
      </c>
      <c r="S353" s="299"/>
      <c r="T353" s="299"/>
      <c r="U353" s="299"/>
      <c r="V353" s="299"/>
      <c r="W353" s="299"/>
      <c r="X353" s="165">
        <f t="shared" si="188"/>
        <v>1999000.61</v>
      </c>
      <c r="Y353" s="165"/>
      <c r="Z353" s="329"/>
      <c r="AA353" s="331"/>
      <c r="AB353" s="329"/>
      <c r="AC353" s="316"/>
    </row>
    <row r="354" spans="1:29" ht="17.25" hidden="1" customHeight="1" x14ac:dyDescent="0.2">
      <c r="A354" s="6" t="s">
        <v>267</v>
      </c>
      <c r="B354" s="296" t="s">
        <v>130</v>
      </c>
      <c r="C354" s="297" t="s">
        <v>259</v>
      </c>
      <c r="D354" s="169" t="s">
        <v>232</v>
      </c>
      <c r="E354" s="298" t="s">
        <v>46</v>
      </c>
      <c r="F354" s="297" t="s">
        <v>58</v>
      </c>
      <c r="G354" s="297" t="s">
        <v>64</v>
      </c>
      <c r="H354" s="165">
        <v>0</v>
      </c>
      <c r="I354" s="165"/>
      <c r="J354" s="165"/>
      <c r="K354" s="301"/>
      <c r="L354" s="301"/>
      <c r="M354" s="301"/>
      <c r="N354" s="293"/>
      <c r="O354" s="165"/>
      <c r="P354" s="260">
        <v>0</v>
      </c>
      <c r="Q354" s="165">
        <f t="shared" si="190"/>
        <v>0</v>
      </c>
      <c r="R354" s="165"/>
      <c r="S354" s="299"/>
      <c r="T354" s="299"/>
      <c r="U354" s="299"/>
      <c r="V354" s="299"/>
      <c r="W354" s="299"/>
      <c r="X354" s="165">
        <f t="shared" si="188"/>
        <v>0</v>
      </c>
      <c r="Y354" s="165"/>
      <c r="Z354" s="329"/>
      <c r="AA354" s="331"/>
      <c r="AB354" s="329"/>
      <c r="AC354" s="316"/>
    </row>
    <row r="355" spans="1:29" s="65" customFormat="1" hidden="1" x14ac:dyDescent="0.2">
      <c r="A355" s="6" t="s">
        <v>268</v>
      </c>
      <c r="B355" s="296" t="s">
        <v>130</v>
      </c>
      <c r="C355" s="297" t="s">
        <v>259</v>
      </c>
      <c r="D355" s="169" t="s">
        <v>269</v>
      </c>
      <c r="E355" s="185" t="s">
        <v>46</v>
      </c>
      <c r="F355" s="169" t="s">
        <v>51</v>
      </c>
      <c r="G355" s="169" t="s">
        <v>101</v>
      </c>
      <c r="H355" s="163">
        <v>300000</v>
      </c>
      <c r="I355" s="165">
        <f>SUM(J355:M355)</f>
        <v>0</v>
      </c>
      <c r="J355" s="163">
        <v>0</v>
      </c>
      <c r="K355" s="292"/>
      <c r="L355" s="292"/>
      <c r="M355" s="292"/>
      <c r="N355" s="293">
        <f>H355+I355</f>
        <v>300000</v>
      </c>
      <c r="O355" s="163">
        <f>300000*80%</f>
        <v>240000</v>
      </c>
      <c r="P355" s="262">
        <v>0</v>
      </c>
      <c r="Q355" s="165">
        <f t="shared" si="190"/>
        <v>0</v>
      </c>
      <c r="R355" s="163"/>
      <c r="S355" s="299"/>
      <c r="T355" s="299"/>
      <c r="U355" s="299"/>
      <c r="V355" s="299"/>
      <c r="W355" s="299"/>
      <c r="X355" s="165">
        <f t="shared" si="188"/>
        <v>0</v>
      </c>
      <c r="Y355" s="163"/>
      <c r="Z355" s="332"/>
      <c r="AA355" s="333"/>
      <c r="AB355" s="332"/>
      <c r="AC355" s="320"/>
    </row>
    <row r="356" spans="1:29" s="65" customFormat="1" ht="38.25" x14ac:dyDescent="0.2">
      <c r="A356" s="6" t="s">
        <v>571</v>
      </c>
      <c r="B356" s="296" t="s">
        <v>130</v>
      </c>
      <c r="C356" s="297" t="s">
        <v>259</v>
      </c>
      <c r="D356" s="169" t="s">
        <v>232</v>
      </c>
      <c r="E356" s="298" t="s">
        <v>46</v>
      </c>
      <c r="F356" s="297" t="s">
        <v>51</v>
      </c>
      <c r="G356" s="169" t="s">
        <v>53</v>
      </c>
      <c r="H356" s="163"/>
      <c r="I356" s="165"/>
      <c r="J356" s="163"/>
      <c r="K356" s="292"/>
      <c r="L356" s="292"/>
      <c r="M356" s="292"/>
      <c r="N356" s="293"/>
      <c r="O356" s="163"/>
      <c r="P356" s="262">
        <v>500000</v>
      </c>
      <c r="Q356" s="165">
        <f t="shared" si="190"/>
        <v>0</v>
      </c>
      <c r="R356" s="163">
        <v>0</v>
      </c>
      <c r="S356" s="299"/>
      <c r="T356" s="299"/>
      <c r="U356" s="299"/>
      <c r="V356" s="299"/>
      <c r="W356" s="299"/>
      <c r="X356" s="165">
        <f t="shared" si="188"/>
        <v>500000</v>
      </c>
      <c r="Y356" s="163"/>
      <c r="Z356" s="332"/>
      <c r="AA356" s="333"/>
      <c r="AB356" s="332"/>
      <c r="AC356" s="320"/>
    </row>
    <row r="357" spans="1:29" ht="25.5" x14ac:dyDescent="0.2">
      <c r="A357" s="6" t="s">
        <v>270</v>
      </c>
      <c r="B357" s="296" t="s">
        <v>130</v>
      </c>
      <c r="C357" s="297" t="s">
        <v>259</v>
      </c>
      <c r="D357" s="169" t="s">
        <v>451</v>
      </c>
      <c r="E357" s="298" t="s">
        <v>46</v>
      </c>
      <c r="F357" s="297" t="s">
        <v>88</v>
      </c>
      <c r="G357" s="297" t="s">
        <v>138</v>
      </c>
      <c r="H357" s="165">
        <v>1508201.88</v>
      </c>
      <c r="I357" s="165">
        <f>SUM(J357:M357)</f>
        <v>100000</v>
      </c>
      <c r="J357" s="165">
        <v>0</v>
      </c>
      <c r="K357" s="301"/>
      <c r="L357" s="301"/>
      <c r="M357" s="301">
        <v>100000</v>
      </c>
      <c r="N357" s="293">
        <f>H357+I357</f>
        <v>1608201.88</v>
      </c>
      <c r="O357" s="165">
        <f>1508201.88*80%</f>
        <v>1206561.504</v>
      </c>
      <c r="P357" s="260">
        <v>924378.67</v>
      </c>
      <c r="Q357" s="165">
        <f t="shared" si="190"/>
        <v>24403.99</v>
      </c>
      <c r="R357" s="165"/>
      <c r="S357" s="299"/>
      <c r="T357" s="299"/>
      <c r="U357" s="165">
        <v>24403.99</v>
      </c>
      <c r="V357" s="165"/>
      <c r="W357" s="165"/>
      <c r="X357" s="165">
        <f t="shared" si="188"/>
        <v>948782.66</v>
      </c>
      <c r="Y357" s="165"/>
      <c r="Z357" s="329"/>
      <c r="AA357" s="331"/>
      <c r="AB357" s="329"/>
      <c r="AC357" s="316"/>
    </row>
    <row r="358" spans="1:29" ht="38.25" hidden="1" x14ac:dyDescent="0.2">
      <c r="A358" s="6" t="s">
        <v>271</v>
      </c>
      <c r="B358" s="296" t="s">
        <v>130</v>
      </c>
      <c r="C358" s="297" t="s">
        <v>259</v>
      </c>
      <c r="D358" s="169" t="s">
        <v>272</v>
      </c>
      <c r="E358" s="298" t="s">
        <v>46</v>
      </c>
      <c r="F358" s="297" t="s">
        <v>51</v>
      </c>
      <c r="G358" s="297" t="s">
        <v>101</v>
      </c>
      <c r="H358" s="165">
        <v>0</v>
      </c>
      <c r="I358" s="165"/>
      <c r="J358" s="165"/>
      <c r="K358" s="301"/>
      <c r="L358" s="301"/>
      <c r="M358" s="301"/>
      <c r="N358" s="293"/>
      <c r="O358" s="165"/>
      <c r="P358" s="260">
        <v>0</v>
      </c>
      <c r="Q358" s="165">
        <f t="shared" si="190"/>
        <v>0</v>
      </c>
      <c r="R358" s="165"/>
      <c r="S358" s="299"/>
      <c r="T358" s="299"/>
      <c r="U358" s="165"/>
      <c r="V358" s="165"/>
      <c r="W358" s="165"/>
      <c r="X358" s="165">
        <f t="shared" si="188"/>
        <v>0</v>
      </c>
      <c r="Y358" s="165"/>
      <c r="Z358" s="329"/>
      <c r="AA358" s="331"/>
      <c r="AB358" s="329"/>
      <c r="AC358" s="316"/>
    </row>
    <row r="359" spans="1:29" ht="25.5" x14ac:dyDescent="0.2">
      <c r="A359" s="6" t="s">
        <v>490</v>
      </c>
      <c r="B359" s="296" t="s">
        <v>130</v>
      </c>
      <c r="C359" s="297" t="s">
        <v>259</v>
      </c>
      <c r="D359" s="169" t="s">
        <v>450</v>
      </c>
      <c r="E359" s="185" t="s">
        <v>46</v>
      </c>
      <c r="F359" s="169" t="s">
        <v>51</v>
      </c>
      <c r="G359" s="297" t="s">
        <v>53</v>
      </c>
      <c r="H359" s="165"/>
      <c r="I359" s="165"/>
      <c r="J359" s="165"/>
      <c r="K359" s="301"/>
      <c r="L359" s="301"/>
      <c r="M359" s="301"/>
      <c r="N359" s="293"/>
      <c r="O359" s="165"/>
      <c r="P359" s="262">
        <v>105000</v>
      </c>
      <c r="Q359" s="165">
        <f t="shared" si="190"/>
        <v>0</v>
      </c>
      <c r="R359" s="165">
        <v>0</v>
      </c>
      <c r="S359" s="299"/>
      <c r="T359" s="299"/>
      <c r="U359" s="165"/>
      <c r="V359" s="165"/>
      <c r="W359" s="165"/>
      <c r="X359" s="165">
        <f t="shared" si="188"/>
        <v>105000</v>
      </c>
      <c r="Y359" s="165" t="s">
        <v>592</v>
      </c>
      <c r="Z359" s="329"/>
      <c r="AA359" s="331"/>
      <c r="AB359" s="329"/>
      <c r="AC359" s="316"/>
    </row>
    <row r="360" spans="1:29" ht="25.5" hidden="1" x14ac:dyDescent="0.2">
      <c r="A360" s="6" t="s">
        <v>490</v>
      </c>
      <c r="B360" s="296" t="s">
        <v>130</v>
      </c>
      <c r="C360" s="297" t="s">
        <v>259</v>
      </c>
      <c r="D360" s="169" t="s">
        <v>450</v>
      </c>
      <c r="E360" s="185" t="s">
        <v>46</v>
      </c>
      <c r="F360" s="169" t="s">
        <v>51</v>
      </c>
      <c r="G360" s="169" t="s">
        <v>101</v>
      </c>
      <c r="H360" s="163">
        <v>396000</v>
      </c>
      <c r="I360" s="165">
        <f>SUM(J360:M360)</f>
        <v>0</v>
      </c>
      <c r="J360" s="163">
        <v>0</v>
      </c>
      <c r="K360" s="292"/>
      <c r="L360" s="292"/>
      <c r="M360" s="292">
        <v>0</v>
      </c>
      <c r="N360" s="293">
        <f>H360+I360</f>
        <v>396000</v>
      </c>
      <c r="O360" s="163">
        <f>396000*80%</f>
        <v>316800</v>
      </c>
      <c r="P360" s="262">
        <v>0</v>
      </c>
      <c r="Q360" s="165">
        <f t="shared" si="190"/>
        <v>0</v>
      </c>
      <c r="R360" s="163"/>
      <c r="S360" s="299"/>
      <c r="T360" s="299"/>
      <c r="U360" s="165"/>
      <c r="V360" s="165"/>
      <c r="W360" s="165"/>
      <c r="X360" s="165">
        <f t="shared" si="188"/>
        <v>0</v>
      </c>
      <c r="Y360" s="165"/>
      <c r="Z360" s="329"/>
      <c r="AA360" s="331"/>
      <c r="AB360" s="332"/>
      <c r="AC360" s="316"/>
    </row>
    <row r="361" spans="1:29" ht="38.25" hidden="1" x14ac:dyDescent="0.2">
      <c r="A361" s="6" t="s">
        <v>438</v>
      </c>
      <c r="B361" s="296" t="s">
        <v>130</v>
      </c>
      <c r="C361" s="297" t="s">
        <v>259</v>
      </c>
      <c r="D361" s="169" t="s">
        <v>272</v>
      </c>
      <c r="E361" s="185" t="s">
        <v>46</v>
      </c>
      <c r="F361" s="169" t="s">
        <v>58</v>
      </c>
      <c r="G361" s="169" t="s">
        <v>64</v>
      </c>
      <c r="H361" s="163"/>
      <c r="I361" s="165"/>
      <c r="J361" s="163"/>
      <c r="K361" s="292"/>
      <c r="L361" s="292"/>
      <c r="M361" s="292"/>
      <c r="N361" s="293"/>
      <c r="O361" s="163"/>
      <c r="P361" s="262">
        <v>0</v>
      </c>
      <c r="Q361" s="165">
        <f t="shared" si="190"/>
        <v>0</v>
      </c>
      <c r="R361" s="163">
        <v>0</v>
      </c>
      <c r="S361" s="299"/>
      <c r="T361" s="299"/>
      <c r="U361" s="165"/>
      <c r="V361" s="165"/>
      <c r="W361" s="165"/>
      <c r="X361" s="165">
        <f t="shared" si="188"/>
        <v>0</v>
      </c>
      <c r="Y361" s="165"/>
      <c r="Z361" s="329"/>
      <c r="AA361" s="331"/>
      <c r="AB361" s="332"/>
      <c r="AC361" s="316"/>
    </row>
    <row r="362" spans="1:29" ht="38.25" hidden="1" x14ac:dyDescent="0.2">
      <c r="A362" s="6" t="s">
        <v>437</v>
      </c>
      <c r="B362" s="296" t="s">
        <v>130</v>
      </c>
      <c r="C362" s="297" t="s">
        <v>259</v>
      </c>
      <c r="D362" s="169" t="s">
        <v>272</v>
      </c>
      <c r="E362" s="185" t="s">
        <v>46</v>
      </c>
      <c r="F362" s="169" t="s">
        <v>77</v>
      </c>
      <c r="G362" s="169" t="s">
        <v>81</v>
      </c>
      <c r="H362" s="163"/>
      <c r="I362" s="165"/>
      <c r="J362" s="163"/>
      <c r="K362" s="292"/>
      <c r="L362" s="292"/>
      <c r="M362" s="292"/>
      <c r="N362" s="293"/>
      <c r="O362" s="163"/>
      <c r="P362" s="262">
        <v>0</v>
      </c>
      <c r="Q362" s="165">
        <f t="shared" si="190"/>
        <v>0</v>
      </c>
      <c r="R362" s="163">
        <v>0</v>
      </c>
      <c r="S362" s="299"/>
      <c r="T362" s="299"/>
      <c r="U362" s="165"/>
      <c r="V362" s="165"/>
      <c r="W362" s="165"/>
      <c r="X362" s="165">
        <f t="shared" si="188"/>
        <v>0</v>
      </c>
      <c r="Y362" s="165"/>
      <c r="Z362" s="329"/>
      <c r="AA362" s="331"/>
      <c r="AB362" s="332"/>
      <c r="AC362" s="316"/>
    </row>
    <row r="363" spans="1:29" ht="38.25" x14ac:dyDescent="0.2">
      <c r="A363" s="151" t="s">
        <v>273</v>
      </c>
      <c r="B363" s="296" t="s">
        <v>130</v>
      </c>
      <c r="C363" s="297" t="s">
        <v>259</v>
      </c>
      <c r="D363" s="169" t="s">
        <v>450</v>
      </c>
      <c r="E363" s="298" t="s">
        <v>46</v>
      </c>
      <c r="F363" s="297" t="s">
        <v>58</v>
      </c>
      <c r="G363" s="297" t="s">
        <v>64</v>
      </c>
      <c r="H363" s="165">
        <v>70000</v>
      </c>
      <c r="I363" s="165">
        <f>SUM(J363:M363)</f>
        <v>-100000</v>
      </c>
      <c r="J363" s="165">
        <v>0</v>
      </c>
      <c r="K363" s="301">
        <v>0</v>
      </c>
      <c r="L363" s="301">
        <v>0</v>
      </c>
      <c r="M363" s="301">
        <v>-100000</v>
      </c>
      <c r="N363" s="293">
        <f>H363+I363</f>
        <v>-30000</v>
      </c>
      <c r="O363" s="165">
        <f>70000*80%</f>
        <v>56000</v>
      </c>
      <c r="P363" s="260">
        <v>70000</v>
      </c>
      <c r="Q363" s="165">
        <f t="shared" si="190"/>
        <v>0</v>
      </c>
      <c r="R363" s="165"/>
      <c r="S363" s="299"/>
      <c r="T363" s="299"/>
      <c r="U363" s="165"/>
      <c r="V363" s="165"/>
      <c r="W363" s="165"/>
      <c r="X363" s="165">
        <f t="shared" si="188"/>
        <v>70000</v>
      </c>
      <c r="Y363" s="165"/>
      <c r="Z363" s="329"/>
      <c r="AA363" s="331"/>
      <c r="AB363" s="329"/>
      <c r="AC363" s="316"/>
    </row>
    <row r="364" spans="1:29" ht="38.25" hidden="1" x14ac:dyDescent="0.2">
      <c r="A364" s="152" t="s">
        <v>274</v>
      </c>
      <c r="B364" s="296" t="s">
        <v>130</v>
      </c>
      <c r="C364" s="297" t="s">
        <v>259</v>
      </c>
      <c r="D364" s="169" t="s">
        <v>275</v>
      </c>
      <c r="E364" s="298"/>
      <c r="F364" s="297" t="s">
        <v>58</v>
      </c>
      <c r="G364" s="297" t="s">
        <v>64</v>
      </c>
      <c r="H364" s="165">
        <v>70000</v>
      </c>
      <c r="I364" s="165">
        <f>SUM(J364:M364)</f>
        <v>-100000</v>
      </c>
      <c r="J364" s="165">
        <v>0</v>
      </c>
      <c r="K364" s="301">
        <v>0</v>
      </c>
      <c r="L364" s="301">
        <v>0</v>
      </c>
      <c r="M364" s="301">
        <v>-100000</v>
      </c>
      <c r="N364" s="293">
        <f>H364+I364</f>
        <v>-30000</v>
      </c>
      <c r="O364" s="165">
        <f>70000*80%</f>
        <v>56000</v>
      </c>
      <c r="P364" s="260">
        <v>0</v>
      </c>
      <c r="Q364" s="165">
        <f t="shared" si="190"/>
        <v>0</v>
      </c>
      <c r="R364" s="165"/>
      <c r="S364" s="299"/>
      <c r="T364" s="299"/>
      <c r="U364" s="165"/>
      <c r="V364" s="165"/>
      <c r="W364" s="165"/>
      <c r="X364" s="165">
        <f t="shared" si="188"/>
        <v>0</v>
      </c>
      <c r="Y364" s="165"/>
      <c r="Z364" s="329"/>
      <c r="AA364" s="331"/>
      <c r="AB364" s="329"/>
      <c r="AC364" s="316"/>
    </row>
    <row r="365" spans="1:29" ht="25.5" hidden="1" x14ac:dyDescent="0.2">
      <c r="A365" s="151" t="s">
        <v>276</v>
      </c>
      <c r="B365" s="296" t="s">
        <v>130</v>
      </c>
      <c r="C365" s="297" t="s">
        <v>259</v>
      </c>
      <c r="D365" s="169" t="s">
        <v>277</v>
      </c>
      <c r="E365" s="298" t="s">
        <v>46</v>
      </c>
      <c r="F365" s="297" t="s">
        <v>66</v>
      </c>
      <c r="G365" s="297" t="s">
        <v>69</v>
      </c>
      <c r="H365" s="165">
        <v>70000</v>
      </c>
      <c r="I365" s="165">
        <f>SUM(J365:M365)</f>
        <v>-100000</v>
      </c>
      <c r="J365" s="165">
        <v>0</v>
      </c>
      <c r="K365" s="301">
        <v>0</v>
      </c>
      <c r="L365" s="301">
        <v>0</v>
      </c>
      <c r="M365" s="301">
        <v>-100000</v>
      </c>
      <c r="N365" s="293">
        <f>H365+I365</f>
        <v>-30000</v>
      </c>
      <c r="O365" s="165">
        <f>70000*80%</f>
        <v>56000</v>
      </c>
      <c r="P365" s="260">
        <v>0</v>
      </c>
      <c r="Q365" s="165">
        <f t="shared" si="190"/>
        <v>0</v>
      </c>
      <c r="R365" s="165"/>
      <c r="S365" s="299"/>
      <c r="T365" s="299"/>
      <c r="U365" s="165">
        <v>0</v>
      </c>
      <c r="V365" s="165"/>
      <c r="W365" s="165"/>
      <c r="X365" s="165">
        <f t="shared" si="188"/>
        <v>0</v>
      </c>
      <c r="Y365" s="165"/>
      <c r="Z365" s="329"/>
      <c r="AA365" s="331"/>
      <c r="AB365" s="329"/>
      <c r="AC365" s="316"/>
    </row>
    <row r="366" spans="1:29" ht="25.5" hidden="1" x14ac:dyDescent="0.2">
      <c r="A366" s="151" t="s">
        <v>423</v>
      </c>
      <c r="B366" s="296" t="s">
        <v>130</v>
      </c>
      <c r="C366" s="297" t="s">
        <v>259</v>
      </c>
      <c r="D366" s="169" t="s">
        <v>232</v>
      </c>
      <c r="E366" s="298" t="s">
        <v>46</v>
      </c>
      <c r="F366" s="297" t="s">
        <v>58</v>
      </c>
      <c r="G366" s="297" t="s">
        <v>64</v>
      </c>
      <c r="H366" s="165"/>
      <c r="I366" s="165"/>
      <c r="J366" s="165"/>
      <c r="K366" s="301"/>
      <c r="L366" s="301"/>
      <c r="M366" s="301"/>
      <c r="N366" s="293"/>
      <c r="O366" s="165"/>
      <c r="P366" s="260">
        <v>0</v>
      </c>
      <c r="Q366" s="165">
        <f t="shared" si="190"/>
        <v>0</v>
      </c>
      <c r="R366" s="165"/>
      <c r="S366" s="299"/>
      <c r="T366" s="299">
        <v>0</v>
      </c>
      <c r="U366" s="302"/>
      <c r="V366" s="302"/>
      <c r="W366" s="302"/>
      <c r="X366" s="165">
        <f t="shared" si="188"/>
        <v>0</v>
      </c>
      <c r="Y366" s="165"/>
      <c r="Z366" s="329"/>
      <c r="AA366" s="331"/>
      <c r="AB366" s="329"/>
      <c r="AC366" s="316"/>
    </row>
    <row r="367" spans="1:29" ht="63.75" hidden="1" customHeight="1" x14ac:dyDescent="0.2">
      <c r="A367" s="151" t="s">
        <v>469</v>
      </c>
      <c r="B367" s="138" t="s">
        <v>130</v>
      </c>
      <c r="C367" s="8" t="s">
        <v>259</v>
      </c>
      <c r="D367" s="30" t="s">
        <v>232</v>
      </c>
      <c r="E367" s="9" t="s">
        <v>553</v>
      </c>
      <c r="F367" s="8" t="s">
        <v>44</v>
      </c>
      <c r="G367" s="8"/>
      <c r="H367" s="31"/>
      <c r="I367" s="31"/>
      <c r="J367" s="31"/>
      <c r="K367" s="32"/>
      <c r="L367" s="32"/>
      <c r="M367" s="32"/>
      <c r="N367" s="33"/>
      <c r="O367" s="31"/>
      <c r="P367" s="260">
        <v>0</v>
      </c>
      <c r="Q367" s="165">
        <f t="shared" si="190"/>
        <v>0</v>
      </c>
      <c r="R367" s="165"/>
      <c r="S367" s="299"/>
      <c r="T367" s="299"/>
      <c r="U367" s="299"/>
      <c r="V367" s="299"/>
      <c r="W367" s="299"/>
      <c r="X367" s="165">
        <f t="shared" si="188"/>
        <v>0</v>
      </c>
      <c r="Y367" s="165"/>
      <c r="Z367" s="329"/>
      <c r="AA367" s="331"/>
      <c r="AB367" s="329"/>
      <c r="AC367" s="316"/>
    </row>
    <row r="368" spans="1:29" ht="35.25" hidden="1" customHeight="1" x14ac:dyDescent="0.2">
      <c r="A368" s="151" t="s">
        <v>491</v>
      </c>
      <c r="B368" s="138" t="s">
        <v>130</v>
      </c>
      <c r="C368" s="8" t="s">
        <v>259</v>
      </c>
      <c r="D368" s="30" t="s">
        <v>232</v>
      </c>
      <c r="E368" s="9" t="s">
        <v>46</v>
      </c>
      <c r="F368" s="8" t="s">
        <v>73</v>
      </c>
      <c r="G368" s="8" t="s">
        <v>75</v>
      </c>
      <c r="H368" s="31"/>
      <c r="I368" s="31"/>
      <c r="J368" s="31"/>
      <c r="K368" s="32"/>
      <c r="L368" s="32"/>
      <c r="M368" s="32"/>
      <c r="N368" s="33"/>
      <c r="O368" s="31"/>
      <c r="P368" s="260">
        <v>0</v>
      </c>
      <c r="Q368" s="165">
        <f t="shared" si="190"/>
        <v>0</v>
      </c>
      <c r="R368" s="165"/>
      <c r="S368" s="299"/>
      <c r="T368" s="299"/>
      <c r="U368" s="299"/>
      <c r="V368" s="299"/>
      <c r="W368" s="299"/>
      <c r="X368" s="165">
        <f t="shared" si="188"/>
        <v>0</v>
      </c>
      <c r="Y368" s="165"/>
      <c r="Z368" s="329"/>
      <c r="AA368" s="331"/>
      <c r="AB368" s="329"/>
      <c r="AC368" s="316"/>
    </row>
    <row r="369" spans="1:29" ht="35.25" hidden="1" customHeight="1" x14ac:dyDescent="0.2">
      <c r="A369" s="151" t="s">
        <v>548</v>
      </c>
      <c r="B369" s="138" t="s">
        <v>130</v>
      </c>
      <c r="C369" s="8" t="s">
        <v>259</v>
      </c>
      <c r="D369" s="30" t="s">
        <v>232</v>
      </c>
      <c r="E369" s="9" t="s">
        <v>46</v>
      </c>
      <c r="F369" s="8" t="s">
        <v>77</v>
      </c>
      <c r="G369" s="8" t="s">
        <v>262</v>
      </c>
      <c r="H369" s="31"/>
      <c r="I369" s="31"/>
      <c r="J369" s="31"/>
      <c r="K369" s="32"/>
      <c r="L369" s="32"/>
      <c r="M369" s="32"/>
      <c r="N369" s="33"/>
      <c r="O369" s="31"/>
      <c r="P369" s="260">
        <v>0</v>
      </c>
      <c r="Q369" s="165">
        <f t="shared" si="190"/>
        <v>0</v>
      </c>
      <c r="R369" s="165"/>
      <c r="S369" s="299"/>
      <c r="T369" s="299">
        <v>0</v>
      </c>
      <c r="U369" s="299"/>
      <c r="V369" s="299"/>
      <c r="W369" s="299"/>
      <c r="X369" s="165">
        <f t="shared" si="188"/>
        <v>0</v>
      </c>
      <c r="Y369" s="165"/>
      <c r="Z369" s="329"/>
      <c r="AA369" s="331"/>
      <c r="AB369" s="329"/>
      <c r="AC369" s="316"/>
    </row>
    <row r="370" spans="1:29" ht="35.25" customHeight="1" x14ac:dyDescent="0.2">
      <c r="A370" s="151" t="s">
        <v>547</v>
      </c>
      <c r="B370" s="138" t="s">
        <v>130</v>
      </c>
      <c r="C370" s="8" t="s">
        <v>259</v>
      </c>
      <c r="D370" s="169" t="s">
        <v>232</v>
      </c>
      <c r="E370" s="9" t="s">
        <v>46</v>
      </c>
      <c r="F370" s="8" t="s">
        <v>58</v>
      </c>
      <c r="G370" s="8" t="s">
        <v>64</v>
      </c>
      <c r="H370" s="31"/>
      <c r="I370" s="31"/>
      <c r="J370" s="31"/>
      <c r="K370" s="32"/>
      <c r="L370" s="32"/>
      <c r="M370" s="32"/>
      <c r="N370" s="33"/>
      <c r="O370" s="31"/>
      <c r="P370" s="260"/>
      <c r="Q370" s="165">
        <f t="shared" si="190"/>
        <v>1522870</v>
      </c>
      <c r="R370" s="165"/>
      <c r="S370" s="299"/>
      <c r="T370" s="299">
        <v>1522870</v>
      </c>
      <c r="U370" s="299"/>
      <c r="V370" s="299"/>
      <c r="W370" s="299"/>
      <c r="X370" s="165">
        <f t="shared" si="188"/>
        <v>1522870</v>
      </c>
      <c r="Y370" s="165"/>
      <c r="Z370" s="329"/>
      <c r="AA370" s="331"/>
      <c r="AB370" s="329"/>
      <c r="AC370" s="316"/>
    </row>
    <row r="371" spans="1:29" ht="35.25" customHeight="1" x14ac:dyDescent="0.2">
      <c r="A371" s="151" t="s">
        <v>637</v>
      </c>
      <c r="B371" s="138" t="s">
        <v>130</v>
      </c>
      <c r="C371" s="8" t="s">
        <v>259</v>
      </c>
      <c r="D371" s="146" t="s">
        <v>638</v>
      </c>
      <c r="E371" s="9" t="s">
        <v>46</v>
      </c>
      <c r="F371" s="8" t="s">
        <v>58</v>
      </c>
      <c r="G371" s="8" t="s">
        <v>64</v>
      </c>
      <c r="H371" s="31"/>
      <c r="I371" s="31"/>
      <c r="J371" s="31"/>
      <c r="K371" s="32"/>
      <c r="L371" s="32"/>
      <c r="M371" s="32"/>
      <c r="N371" s="33"/>
      <c r="O371" s="31"/>
      <c r="P371" s="260"/>
      <c r="Q371" s="165">
        <f t="shared" si="190"/>
        <v>1125000</v>
      </c>
      <c r="R371" s="165"/>
      <c r="S371" s="299"/>
      <c r="T371" s="299">
        <v>1125000</v>
      </c>
      <c r="U371" s="299"/>
      <c r="V371" s="299"/>
      <c r="W371" s="299"/>
      <c r="X371" s="165">
        <f t="shared" si="188"/>
        <v>1125000</v>
      </c>
      <c r="Y371" s="165"/>
      <c r="Z371" s="329"/>
      <c r="AA371" s="331"/>
      <c r="AB371" s="329"/>
      <c r="AC371" s="316"/>
    </row>
    <row r="372" spans="1:29" ht="35.25" customHeight="1" x14ac:dyDescent="0.2">
      <c r="A372" s="151" t="s">
        <v>636</v>
      </c>
      <c r="B372" s="138" t="s">
        <v>130</v>
      </c>
      <c r="C372" s="8" t="s">
        <v>259</v>
      </c>
      <c r="D372" s="169" t="s">
        <v>232</v>
      </c>
      <c r="E372" s="9" t="s">
        <v>46</v>
      </c>
      <c r="F372" s="8" t="s">
        <v>58</v>
      </c>
      <c r="G372" s="8" t="s">
        <v>64</v>
      </c>
      <c r="H372" s="31"/>
      <c r="I372" s="31"/>
      <c r="J372" s="31"/>
      <c r="K372" s="32"/>
      <c r="L372" s="32"/>
      <c r="M372" s="32"/>
      <c r="N372" s="33"/>
      <c r="O372" s="31"/>
      <c r="P372" s="260"/>
      <c r="Q372" s="165">
        <f t="shared" si="190"/>
        <v>540000</v>
      </c>
      <c r="R372" s="165"/>
      <c r="S372" s="299"/>
      <c r="T372" s="299">
        <v>540000</v>
      </c>
      <c r="U372" s="299"/>
      <c r="V372" s="299"/>
      <c r="W372" s="299"/>
      <c r="X372" s="165">
        <f t="shared" si="188"/>
        <v>540000</v>
      </c>
      <c r="Y372" s="165"/>
      <c r="Z372" s="329"/>
      <c r="AA372" s="331"/>
      <c r="AB372" s="329"/>
      <c r="AC372" s="316"/>
    </row>
    <row r="373" spans="1:29" ht="12.75" customHeight="1" x14ac:dyDescent="0.2">
      <c r="A373" s="34" t="s">
        <v>278</v>
      </c>
      <c r="B373" s="167" t="s">
        <v>130</v>
      </c>
      <c r="C373" s="168" t="s">
        <v>279</v>
      </c>
      <c r="D373" s="18" t="s">
        <v>280</v>
      </c>
      <c r="E373" s="19" t="s">
        <v>19</v>
      </c>
      <c r="F373" s="18"/>
      <c r="G373" s="18"/>
      <c r="H373" s="20">
        <f t="shared" ref="H373:N373" si="191">H374+H380+H400+H396</f>
        <v>4230785.21</v>
      </c>
      <c r="I373" s="20">
        <f t="shared" si="191"/>
        <v>0</v>
      </c>
      <c r="J373" s="20">
        <f t="shared" si="191"/>
        <v>0</v>
      </c>
      <c r="K373" s="21">
        <f t="shared" si="191"/>
        <v>0</v>
      </c>
      <c r="L373" s="21">
        <f t="shared" si="191"/>
        <v>0</v>
      </c>
      <c r="M373" s="21">
        <f t="shared" si="191"/>
        <v>0</v>
      </c>
      <c r="N373" s="22">
        <f t="shared" si="191"/>
        <v>4210150.21</v>
      </c>
      <c r="O373" s="20">
        <f>O374+O380+O400+O396</f>
        <v>4155675.21</v>
      </c>
      <c r="P373" s="257">
        <f>P374+P380+P400+P396</f>
        <v>4593552.66</v>
      </c>
      <c r="Q373" s="257">
        <f t="shared" ref="Q373:X373" si="192">Q374+Q380+Q400+Q396</f>
        <v>1000</v>
      </c>
      <c r="R373" s="257">
        <f t="shared" si="192"/>
        <v>0</v>
      </c>
      <c r="S373" s="257">
        <f t="shared" si="192"/>
        <v>0</v>
      </c>
      <c r="T373" s="257">
        <f t="shared" si="192"/>
        <v>0</v>
      </c>
      <c r="U373" s="257">
        <f t="shared" si="192"/>
        <v>1000</v>
      </c>
      <c r="V373" s="257">
        <f t="shared" si="192"/>
        <v>0</v>
      </c>
      <c r="W373" s="257"/>
      <c r="X373" s="257">
        <f t="shared" si="192"/>
        <v>4594552.66</v>
      </c>
      <c r="Y373" s="382"/>
      <c r="Z373" s="288"/>
      <c r="AA373" s="316"/>
      <c r="AB373" s="385"/>
      <c r="AC373" s="316"/>
    </row>
    <row r="374" spans="1:29" ht="12.75" customHeight="1" x14ac:dyDescent="0.2">
      <c r="A374" s="23" t="s">
        <v>24</v>
      </c>
      <c r="B374" s="138" t="s">
        <v>130</v>
      </c>
      <c r="C374" s="8" t="s">
        <v>279</v>
      </c>
      <c r="D374" s="169" t="s">
        <v>280</v>
      </c>
      <c r="E374" s="26" t="s">
        <v>19</v>
      </c>
      <c r="F374" s="25" t="s">
        <v>25</v>
      </c>
      <c r="G374" s="25"/>
      <c r="H374" s="27">
        <f t="shared" ref="H374:N374" si="193">H375+H376+H379</f>
        <v>3855285.21</v>
      </c>
      <c r="I374" s="27">
        <f t="shared" si="193"/>
        <v>0</v>
      </c>
      <c r="J374" s="27">
        <f t="shared" si="193"/>
        <v>0</v>
      </c>
      <c r="K374" s="28">
        <f t="shared" si="193"/>
        <v>0</v>
      </c>
      <c r="L374" s="28">
        <f t="shared" si="193"/>
        <v>0</v>
      </c>
      <c r="M374" s="28">
        <f t="shared" si="193"/>
        <v>0</v>
      </c>
      <c r="N374" s="29">
        <f t="shared" si="193"/>
        <v>3855285.21</v>
      </c>
      <c r="O374" s="27">
        <f>O375+O376+O379</f>
        <v>3854775.21</v>
      </c>
      <c r="P374" s="258">
        <f>P375+P376+P379</f>
        <v>4428584.3600000003</v>
      </c>
      <c r="Q374" s="258">
        <f t="shared" ref="Q374:X374" si="194">Q375+Q376+Q379</f>
        <v>0</v>
      </c>
      <c r="R374" s="258">
        <f t="shared" si="194"/>
        <v>0</v>
      </c>
      <c r="S374" s="258">
        <f t="shared" si="194"/>
        <v>0</v>
      </c>
      <c r="T374" s="258">
        <f t="shared" si="194"/>
        <v>0</v>
      </c>
      <c r="U374" s="258">
        <f t="shared" si="194"/>
        <v>0</v>
      </c>
      <c r="V374" s="258">
        <f t="shared" si="194"/>
        <v>0</v>
      </c>
      <c r="W374" s="258"/>
      <c r="X374" s="258">
        <f t="shared" si="194"/>
        <v>4428584.3600000003</v>
      </c>
      <c r="Y374" s="301"/>
      <c r="Z374" s="288"/>
      <c r="AA374" s="316"/>
      <c r="AB374" s="385"/>
      <c r="AC374" s="316"/>
    </row>
    <row r="375" spans="1:29" ht="12.75" customHeight="1" x14ac:dyDescent="0.2">
      <c r="A375" s="6" t="s">
        <v>26</v>
      </c>
      <c r="B375" s="138" t="s">
        <v>130</v>
      </c>
      <c r="C375" s="8" t="s">
        <v>279</v>
      </c>
      <c r="D375" s="169" t="s">
        <v>280</v>
      </c>
      <c r="E375" s="9" t="s">
        <v>281</v>
      </c>
      <c r="F375" s="8" t="s">
        <v>27</v>
      </c>
      <c r="G375" s="8"/>
      <c r="H375" s="31">
        <v>2797799.7</v>
      </c>
      <c r="I375" s="31">
        <f>SUM(J375:M375)</f>
        <v>0</v>
      </c>
      <c r="J375" s="31">
        <v>0</v>
      </c>
      <c r="K375" s="32">
        <v>0</v>
      </c>
      <c r="L375" s="32">
        <v>0</v>
      </c>
      <c r="M375" s="32">
        <v>0</v>
      </c>
      <c r="N375" s="33">
        <f>H375+I375</f>
        <v>2797799.7</v>
      </c>
      <c r="O375" s="31">
        <v>2797799.7</v>
      </c>
      <c r="P375" s="260">
        <v>3025026.39</v>
      </c>
      <c r="Q375" s="165">
        <f>R375+S375+T375+U375+V375</f>
        <v>0</v>
      </c>
      <c r="R375" s="165">
        <v>0</v>
      </c>
      <c r="S375" s="165"/>
      <c r="T375" s="165"/>
      <c r="U375" s="165">
        <v>0</v>
      </c>
      <c r="V375" s="165"/>
      <c r="W375" s="165"/>
      <c r="X375" s="165">
        <f>P375+Q375</f>
        <v>3025026.39</v>
      </c>
      <c r="Y375" s="54"/>
      <c r="Z375" s="288"/>
      <c r="AA375" s="316"/>
      <c r="AB375" s="329"/>
      <c r="AC375" s="316"/>
    </row>
    <row r="376" spans="1:29" ht="12.75" customHeight="1" x14ac:dyDescent="0.2">
      <c r="A376" s="6" t="s">
        <v>36</v>
      </c>
      <c r="B376" s="138" t="s">
        <v>130</v>
      </c>
      <c r="C376" s="8" t="s">
        <v>279</v>
      </c>
      <c r="D376" s="169" t="s">
        <v>280</v>
      </c>
      <c r="E376" s="9" t="s">
        <v>282</v>
      </c>
      <c r="F376" s="297" t="s">
        <v>85</v>
      </c>
      <c r="G376" s="297"/>
      <c r="H376" s="165">
        <f t="shared" ref="H376:N376" si="195">SUM(H377:H378)</f>
        <v>212550</v>
      </c>
      <c r="I376" s="165">
        <f t="shared" si="195"/>
        <v>0</v>
      </c>
      <c r="J376" s="165">
        <f t="shared" si="195"/>
        <v>0</v>
      </c>
      <c r="K376" s="301">
        <f t="shared" si="195"/>
        <v>0</v>
      </c>
      <c r="L376" s="301">
        <f t="shared" si="195"/>
        <v>0</v>
      </c>
      <c r="M376" s="301">
        <f t="shared" si="195"/>
        <v>0</v>
      </c>
      <c r="N376" s="301">
        <f t="shared" si="195"/>
        <v>212550</v>
      </c>
      <c r="O376" s="165">
        <f>SUM(O377:O378)</f>
        <v>212040</v>
      </c>
      <c r="P376" s="260">
        <f>SUM(P377:P378)</f>
        <v>490000</v>
      </c>
      <c r="Q376" s="260">
        <f t="shared" ref="Q376:X376" si="196">SUM(Q377:Q378)</f>
        <v>0</v>
      </c>
      <c r="R376" s="260">
        <f t="shared" si="196"/>
        <v>0</v>
      </c>
      <c r="S376" s="260">
        <f t="shared" si="196"/>
        <v>0</v>
      </c>
      <c r="T376" s="260">
        <f t="shared" si="196"/>
        <v>0</v>
      </c>
      <c r="U376" s="260">
        <f t="shared" si="196"/>
        <v>0</v>
      </c>
      <c r="V376" s="260">
        <f t="shared" si="196"/>
        <v>0</v>
      </c>
      <c r="W376" s="260"/>
      <c r="X376" s="260">
        <f t="shared" si="196"/>
        <v>490000</v>
      </c>
      <c r="Y376" s="301"/>
      <c r="Z376" s="288"/>
      <c r="AA376" s="316"/>
      <c r="AB376" s="389"/>
      <c r="AC376" s="316"/>
    </row>
    <row r="377" spans="1:29" s="316" customFormat="1" ht="27.75" hidden="1" customHeight="1" x14ac:dyDescent="0.2">
      <c r="A377" s="148" t="s">
        <v>176</v>
      </c>
      <c r="B377" s="296" t="s">
        <v>130</v>
      </c>
      <c r="C377" s="297" t="s">
        <v>279</v>
      </c>
      <c r="D377" s="169" t="s">
        <v>280</v>
      </c>
      <c r="E377" s="298"/>
      <c r="F377" s="297"/>
      <c r="G377" s="297" t="s">
        <v>38</v>
      </c>
      <c r="H377" s="165">
        <v>2550</v>
      </c>
      <c r="I377" s="165">
        <f>SUM(J377:M377)</f>
        <v>0</v>
      </c>
      <c r="J377" s="165"/>
      <c r="K377" s="301"/>
      <c r="L377" s="301"/>
      <c r="M377" s="301"/>
      <c r="N377" s="293">
        <f>H377+I377</f>
        <v>2550</v>
      </c>
      <c r="O377" s="165">
        <f>2550*80%</f>
        <v>2040</v>
      </c>
      <c r="P377" s="260">
        <v>0</v>
      </c>
      <c r="Q377" s="165">
        <f>R377+S377+T377+U377+V377</f>
        <v>0</v>
      </c>
      <c r="R377" s="165">
        <v>0</v>
      </c>
      <c r="S377" s="165"/>
      <c r="T377" s="165"/>
      <c r="U377" s="165"/>
      <c r="V377" s="165"/>
      <c r="W377" s="165"/>
      <c r="X377" s="165">
        <f>P377+Q377</f>
        <v>0</v>
      </c>
      <c r="Y377" s="301"/>
      <c r="Z377" s="288"/>
      <c r="AB377" s="329"/>
    </row>
    <row r="378" spans="1:29" ht="27" customHeight="1" x14ac:dyDescent="0.2">
      <c r="A378" s="40" t="s">
        <v>283</v>
      </c>
      <c r="B378" s="138" t="s">
        <v>130</v>
      </c>
      <c r="C378" s="8" t="s">
        <v>279</v>
      </c>
      <c r="D378" s="169" t="s">
        <v>280</v>
      </c>
      <c r="E378" s="9"/>
      <c r="F378" s="297" t="s">
        <v>558</v>
      </c>
      <c r="G378" s="297" t="s">
        <v>40</v>
      </c>
      <c r="H378" s="165">
        <v>210000</v>
      </c>
      <c r="I378" s="165">
        <f>SUM(J378:M378)</f>
        <v>0</v>
      </c>
      <c r="J378" s="165">
        <v>0</v>
      </c>
      <c r="K378" s="301"/>
      <c r="L378" s="301"/>
      <c r="M378" s="301"/>
      <c r="N378" s="293">
        <f>H378+I378</f>
        <v>210000</v>
      </c>
      <c r="O378" s="165">
        <v>210000</v>
      </c>
      <c r="P378" s="260">
        <v>490000</v>
      </c>
      <c r="Q378" s="165">
        <f>R378+S378+T378+U378+V378</f>
        <v>0</v>
      </c>
      <c r="R378" s="165">
        <v>0</v>
      </c>
      <c r="S378" s="165"/>
      <c r="T378" s="165"/>
      <c r="U378" s="165"/>
      <c r="V378" s="165"/>
      <c r="W378" s="165"/>
      <c r="X378" s="165">
        <f>P378+Q378</f>
        <v>490000</v>
      </c>
      <c r="Y378" s="301"/>
      <c r="Z378" s="288"/>
      <c r="AA378" s="316"/>
      <c r="AB378" s="329"/>
      <c r="AC378" s="316"/>
    </row>
    <row r="379" spans="1:29" ht="12.75" customHeight="1" x14ac:dyDescent="0.2">
      <c r="A379" s="53" t="s">
        <v>28</v>
      </c>
      <c r="B379" s="138" t="s">
        <v>130</v>
      </c>
      <c r="C379" s="8" t="s">
        <v>279</v>
      </c>
      <c r="D379" s="169" t="s">
        <v>280</v>
      </c>
      <c r="E379" s="9" t="s">
        <v>284</v>
      </c>
      <c r="F379" s="8" t="s">
        <v>30</v>
      </c>
      <c r="G379" s="8"/>
      <c r="H379" s="31">
        <v>844935.51</v>
      </c>
      <c r="I379" s="31">
        <f>SUM(J379:M379)</f>
        <v>0</v>
      </c>
      <c r="J379" s="31">
        <v>0</v>
      </c>
      <c r="K379" s="32">
        <v>0</v>
      </c>
      <c r="L379" s="32">
        <v>0</v>
      </c>
      <c r="M379" s="32">
        <v>0</v>
      </c>
      <c r="N379" s="33">
        <f>H379+I379</f>
        <v>844935.51</v>
      </c>
      <c r="O379" s="31">
        <v>844935.51</v>
      </c>
      <c r="P379" s="260">
        <v>913557.97</v>
      </c>
      <c r="Q379" s="165">
        <f>R379+S379+T379+U379+V379</f>
        <v>0</v>
      </c>
      <c r="R379" s="165">
        <v>0</v>
      </c>
      <c r="S379" s="165"/>
      <c r="T379" s="165"/>
      <c r="U379" s="165">
        <v>0</v>
      </c>
      <c r="V379" s="165"/>
      <c r="W379" s="165"/>
      <c r="X379" s="165">
        <f>P379+Q379</f>
        <v>913557.97</v>
      </c>
      <c r="Y379" s="54"/>
      <c r="Z379" s="288"/>
      <c r="AA379" s="316"/>
      <c r="AB379" s="329"/>
      <c r="AC379" s="316"/>
    </row>
    <row r="380" spans="1:29" ht="12.75" customHeight="1" x14ac:dyDescent="0.2">
      <c r="A380" s="23" t="s">
        <v>41</v>
      </c>
      <c r="B380" s="138" t="s">
        <v>130</v>
      </c>
      <c r="C380" s="8" t="s">
        <v>279</v>
      </c>
      <c r="D380" s="170" t="s">
        <v>280</v>
      </c>
      <c r="E380" s="26" t="s">
        <v>19</v>
      </c>
      <c r="F380" s="25" t="s">
        <v>42</v>
      </c>
      <c r="G380" s="25"/>
      <c r="H380" s="27">
        <f>H381+H382+H383+H386+H389</f>
        <v>313000</v>
      </c>
      <c r="I380" s="27">
        <f t="shared" ref="I380:N380" si="197">I381+I383+I386+I389</f>
        <v>0</v>
      </c>
      <c r="J380" s="27">
        <f t="shared" si="197"/>
        <v>0</v>
      </c>
      <c r="K380" s="28">
        <f t="shared" si="197"/>
        <v>0</v>
      </c>
      <c r="L380" s="28">
        <f t="shared" si="197"/>
        <v>0</v>
      </c>
      <c r="M380" s="28">
        <f t="shared" si="197"/>
        <v>0</v>
      </c>
      <c r="N380" s="29">
        <f t="shared" si="197"/>
        <v>292365</v>
      </c>
      <c r="O380" s="27">
        <f>O381+O382+O383+O386+O389</f>
        <v>250400</v>
      </c>
      <c r="P380" s="258">
        <f>P381+P382+P383+P386+P389</f>
        <v>151470</v>
      </c>
      <c r="Q380" s="258">
        <f t="shared" ref="Q380:X380" si="198">Q381+Q382+Q383+Q386+Q389</f>
        <v>0</v>
      </c>
      <c r="R380" s="258">
        <f t="shared" si="198"/>
        <v>0</v>
      </c>
      <c r="S380" s="258">
        <f t="shared" si="198"/>
        <v>0</v>
      </c>
      <c r="T380" s="258">
        <f t="shared" si="198"/>
        <v>0</v>
      </c>
      <c r="U380" s="258">
        <f t="shared" si="198"/>
        <v>0</v>
      </c>
      <c r="V380" s="258">
        <f t="shared" si="198"/>
        <v>0</v>
      </c>
      <c r="W380" s="258"/>
      <c r="X380" s="258">
        <f t="shared" si="198"/>
        <v>151470</v>
      </c>
      <c r="Y380" s="301"/>
      <c r="Z380" s="288"/>
      <c r="AA380" s="316"/>
      <c r="AB380" s="385"/>
      <c r="AC380" s="316"/>
    </row>
    <row r="381" spans="1:29" s="316" customFormat="1" ht="12.75" customHeight="1" x14ac:dyDescent="0.2">
      <c r="A381" s="53" t="s">
        <v>43</v>
      </c>
      <c r="B381" s="455" t="s">
        <v>130</v>
      </c>
      <c r="C381" s="170" t="s">
        <v>279</v>
      </c>
      <c r="D381" s="169" t="s">
        <v>280</v>
      </c>
      <c r="E381" s="298" t="s">
        <v>44</v>
      </c>
      <c r="F381" s="297" t="s">
        <v>45</v>
      </c>
      <c r="G381" s="297"/>
      <c r="H381" s="165">
        <v>110000</v>
      </c>
      <c r="I381" s="165">
        <f>SUM(J381:M381)</f>
        <v>0</v>
      </c>
      <c r="J381" s="165"/>
      <c r="K381" s="301"/>
      <c r="L381" s="301"/>
      <c r="M381" s="301"/>
      <c r="N381" s="293">
        <v>93365</v>
      </c>
      <c r="O381" s="165">
        <f>110000*80%</f>
        <v>88000</v>
      </c>
      <c r="P381" s="260">
        <v>127000</v>
      </c>
      <c r="Q381" s="165">
        <f>R381+S381+T381+U381+V381</f>
        <v>-2229.81</v>
      </c>
      <c r="R381" s="165">
        <v>-2229.81</v>
      </c>
      <c r="S381" s="165"/>
      <c r="T381" s="165"/>
      <c r="U381" s="165"/>
      <c r="V381" s="165"/>
      <c r="W381" s="165"/>
      <c r="X381" s="165">
        <f>P381+Q381</f>
        <v>124770.19</v>
      </c>
      <c r="Y381" s="301"/>
      <c r="Z381" s="288"/>
      <c r="AB381" s="329"/>
    </row>
    <row r="382" spans="1:29" s="316" customFormat="1" ht="12.75" customHeight="1" x14ac:dyDescent="0.2">
      <c r="A382" s="53" t="s">
        <v>43</v>
      </c>
      <c r="B382" s="296" t="s">
        <v>130</v>
      </c>
      <c r="C382" s="297" t="s">
        <v>279</v>
      </c>
      <c r="D382" s="169" t="s">
        <v>280</v>
      </c>
      <c r="E382" s="298" t="s">
        <v>46</v>
      </c>
      <c r="F382" s="297" t="s">
        <v>45</v>
      </c>
      <c r="G382" s="297"/>
      <c r="H382" s="165">
        <v>4000</v>
      </c>
      <c r="I382" s="165"/>
      <c r="J382" s="165"/>
      <c r="K382" s="301"/>
      <c r="L382" s="301"/>
      <c r="M382" s="301"/>
      <c r="N382" s="365"/>
      <c r="O382" s="165">
        <f>4000*80%</f>
        <v>3200</v>
      </c>
      <c r="P382" s="260">
        <v>0</v>
      </c>
      <c r="Q382" s="165">
        <f>R382+S382+T382+U382+V382</f>
        <v>2229.81</v>
      </c>
      <c r="R382" s="165">
        <v>2229.81</v>
      </c>
      <c r="S382" s="165"/>
      <c r="T382" s="165"/>
      <c r="U382" s="165"/>
      <c r="V382" s="165"/>
      <c r="W382" s="165"/>
      <c r="X382" s="165">
        <f>P382+Q382</f>
        <v>2229.81</v>
      </c>
      <c r="Y382" s="301"/>
      <c r="Z382" s="288"/>
      <c r="AB382" s="329"/>
    </row>
    <row r="383" spans="1:29" s="316" customFormat="1" ht="12.75" hidden="1" customHeight="1" x14ac:dyDescent="0.2">
      <c r="A383" s="53" t="s">
        <v>47</v>
      </c>
      <c r="B383" s="502" t="s">
        <v>130</v>
      </c>
      <c r="C383" s="297" t="s">
        <v>279</v>
      </c>
      <c r="D383" s="169" t="s">
        <v>280</v>
      </c>
      <c r="E383" s="298" t="s">
        <v>282</v>
      </c>
      <c r="F383" s="297" t="s">
        <v>48</v>
      </c>
      <c r="G383" s="297"/>
      <c r="H383" s="165">
        <f>SUM(H384:H385)</f>
        <v>80000</v>
      </c>
      <c r="I383" s="165">
        <f t="shared" ref="I383:N383" si="199">SUM(I384:I385)</f>
        <v>-5600</v>
      </c>
      <c r="J383" s="165">
        <f t="shared" si="199"/>
        <v>-5600</v>
      </c>
      <c r="K383" s="301">
        <f t="shared" si="199"/>
        <v>0</v>
      </c>
      <c r="L383" s="301">
        <f t="shared" si="199"/>
        <v>0</v>
      </c>
      <c r="M383" s="301">
        <f t="shared" si="199"/>
        <v>0</v>
      </c>
      <c r="N383" s="301">
        <f t="shared" si="199"/>
        <v>74400</v>
      </c>
      <c r="O383" s="165">
        <f>SUM(O384:O385)</f>
        <v>64000</v>
      </c>
      <c r="P383" s="260">
        <f>SUM(P384:P385)</f>
        <v>0</v>
      </c>
      <c r="Q383" s="165"/>
      <c r="R383" s="165"/>
      <c r="S383" s="165"/>
      <c r="T383" s="165"/>
      <c r="U383" s="165"/>
      <c r="V383" s="165"/>
      <c r="W383" s="165"/>
      <c r="X383" s="165"/>
      <c r="Y383" s="301"/>
      <c r="Z383" s="288"/>
      <c r="AB383" s="329"/>
    </row>
    <row r="384" spans="1:29" s="316" customFormat="1" ht="30" hidden="1" customHeight="1" x14ac:dyDescent="0.2">
      <c r="A384" s="148" t="s">
        <v>285</v>
      </c>
      <c r="B384" s="502"/>
      <c r="C384" s="297"/>
      <c r="D384" s="297"/>
      <c r="E384" s="298"/>
      <c r="F384" s="297"/>
      <c r="G384" s="297" t="s">
        <v>38</v>
      </c>
      <c r="H384" s="165">
        <v>80000</v>
      </c>
      <c r="I384" s="165">
        <f>SUM(J384:M384)</f>
        <v>-5600</v>
      </c>
      <c r="J384" s="165">
        <v>-5600</v>
      </c>
      <c r="K384" s="301"/>
      <c r="L384" s="301"/>
      <c r="M384" s="301"/>
      <c r="N384" s="293">
        <f>H384+I384</f>
        <v>74400</v>
      </c>
      <c r="O384" s="165">
        <f>80000*80%</f>
        <v>64000</v>
      </c>
      <c r="P384" s="260">
        <v>0</v>
      </c>
      <c r="Q384" s="165"/>
      <c r="R384" s="165"/>
      <c r="S384" s="165"/>
      <c r="T384" s="165"/>
      <c r="U384" s="165"/>
      <c r="V384" s="165"/>
      <c r="W384" s="165"/>
      <c r="X384" s="165"/>
      <c r="Y384" s="301"/>
      <c r="Z384" s="288"/>
      <c r="AB384" s="329"/>
    </row>
    <row r="385" spans="1:29" s="316" customFormat="1" ht="40.5" hidden="1" customHeight="1" x14ac:dyDescent="0.2">
      <c r="A385" s="53" t="s">
        <v>131</v>
      </c>
      <c r="B385" s="502"/>
      <c r="C385" s="297"/>
      <c r="D385" s="297"/>
      <c r="E385" s="298"/>
      <c r="F385" s="297"/>
      <c r="G385" s="297" t="s">
        <v>286</v>
      </c>
      <c r="H385" s="165">
        <v>0</v>
      </c>
      <c r="I385" s="165">
        <f>SUM(J385:M385)</f>
        <v>0</v>
      </c>
      <c r="J385" s="165"/>
      <c r="K385" s="301"/>
      <c r="L385" s="301"/>
      <c r="M385" s="301"/>
      <c r="N385" s="293">
        <f>H385+I385</f>
        <v>0</v>
      </c>
      <c r="O385" s="165">
        <v>0</v>
      </c>
      <c r="P385" s="260">
        <v>0</v>
      </c>
      <c r="Q385" s="165"/>
      <c r="R385" s="165"/>
      <c r="S385" s="165"/>
      <c r="T385" s="165"/>
      <c r="U385" s="165"/>
      <c r="V385" s="165"/>
      <c r="W385" s="165"/>
      <c r="X385" s="165"/>
      <c r="Y385" s="301"/>
      <c r="Z385" s="288"/>
      <c r="AB385" s="329"/>
    </row>
    <row r="386" spans="1:29" s="316" customFormat="1" ht="12.75" customHeight="1" x14ac:dyDescent="0.2">
      <c r="A386" s="53" t="s">
        <v>50</v>
      </c>
      <c r="B386" s="502" t="s">
        <v>130</v>
      </c>
      <c r="C386" s="297" t="s">
        <v>279</v>
      </c>
      <c r="D386" s="169" t="s">
        <v>280</v>
      </c>
      <c r="E386" s="298" t="s">
        <v>19</v>
      </c>
      <c r="F386" s="297" t="s">
        <v>51</v>
      </c>
      <c r="G386" s="297"/>
      <c r="H386" s="165">
        <f t="shared" ref="H386:N386" si="200">H387+H388</f>
        <v>20000</v>
      </c>
      <c r="I386" s="165">
        <f t="shared" si="200"/>
        <v>0</v>
      </c>
      <c r="J386" s="165">
        <f t="shared" si="200"/>
        <v>0</v>
      </c>
      <c r="K386" s="301">
        <f t="shared" si="200"/>
        <v>0</v>
      </c>
      <c r="L386" s="301">
        <f t="shared" si="200"/>
        <v>0</v>
      </c>
      <c r="M386" s="301">
        <f t="shared" si="200"/>
        <v>0</v>
      </c>
      <c r="N386" s="293">
        <f t="shared" si="200"/>
        <v>20000</v>
      </c>
      <c r="O386" s="165">
        <f>O387+O388</f>
        <v>16000</v>
      </c>
      <c r="P386" s="260">
        <f>P388</f>
        <v>7950</v>
      </c>
      <c r="Q386" s="260">
        <f t="shared" ref="Q386:X386" si="201">Q387+Q388</f>
        <v>0</v>
      </c>
      <c r="R386" s="260">
        <f t="shared" si="201"/>
        <v>0</v>
      </c>
      <c r="S386" s="260">
        <f t="shared" si="201"/>
        <v>0</v>
      </c>
      <c r="T386" s="260">
        <f t="shared" si="201"/>
        <v>0</v>
      </c>
      <c r="U386" s="260">
        <f t="shared" si="201"/>
        <v>0</v>
      </c>
      <c r="V386" s="260">
        <f t="shared" si="201"/>
        <v>0</v>
      </c>
      <c r="W386" s="260"/>
      <c r="X386" s="260">
        <f t="shared" si="201"/>
        <v>7950</v>
      </c>
      <c r="Y386" s="301"/>
      <c r="Z386" s="288"/>
      <c r="AB386" s="389"/>
    </row>
    <row r="387" spans="1:29" ht="12.75" hidden="1" customHeight="1" x14ac:dyDescent="0.2">
      <c r="A387" s="40" t="s">
        <v>52</v>
      </c>
      <c r="B387" s="138"/>
      <c r="C387" s="8"/>
      <c r="D387" s="8"/>
      <c r="E387" s="9"/>
      <c r="F387" s="8"/>
      <c r="G387" s="8" t="s">
        <v>53</v>
      </c>
      <c r="H387" s="31">
        <v>0</v>
      </c>
      <c r="I387" s="31">
        <f>SUM(J387:M387)</f>
        <v>0</v>
      </c>
      <c r="J387" s="31"/>
      <c r="K387" s="32"/>
      <c r="L387" s="32"/>
      <c r="M387" s="32"/>
      <c r="N387" s="33">
        <f>H387+I387</f>
        <v>0</v>
      </c>
      <c r="O387" s="31">
        <v>0</v>
      </c>
      <c r="P387" s="260">
        <v>0</v>
      </c>
      <c r="Q387" s="165"/>
      <c r="R387" s="165"/>
      <c r="S387" s="165"/>
      <c r="T387" s="165"/>
      <c r="U387" s="165"/>
      <c r="V387" s="165"/>
      <c r="W387" s="165"/>
      <c r="X387" s="165"/>
      <c r="Y387" s="301"/>
      <c r="Z387" s="288"/>
      <c r="AA387" s="316"/>
      <c r="AB387" s="329"/>
      <c r="AC387" s="316"/>
    </row>
    <row r="388" spans="1:29" ht="12.75" customHeight="1" x14ac:dyDescent="0.2">
      <c r="A388" s="40" t="s">
        <v>287</v>
      </c>
      <c r="B388" s="138"/>
      <c r="C388" s="8"/>
      <c r="D388" s="8"/>
      <c r="E388" s="9" t="s">
        <v>44</v>
      </c>
      <c r="F388" s="8"/>
      <c r="G388" s="8" t="s">
        <v>101</v>
      </c>
      <c r="H388" s="31">
        <v>20000</v>
      </c>
      <c r="I388" s="31">
        <f>SUM(J388:M388)</f>
        <v>0</v>
      </c>
      <c r="J388" s="31">
        <v>0</v>
      </c>
      <c r="K388" s="32"/>
      <c r="L388" s="32"/>
      <c r="M388" s="32">
        <v>0</v>
      </c>
      <c r="N388" s="33">
        <f>H388+I388</f>
        <v>20000</v>
      </c>
      <c r="O388" s="31">
        <f>20000*80%</f>
        <v>16000</v>
      </c>
      <c r="P388" s="260">
        <v>7950</v>
      </c>
      <c r="Q388" s="165">
        <f>R388+S388+T388+U388+V388</f>
        <v>0</v>
      </c>
      <c r="R388" s="165">
        <v>0</v>
      </c>
      <c r="S388" s="165"/>
      <c r="T388" s="165"/>
      <c r="U388" s="165"/>
      <c r="V388" s="165"/>
      <c r="W388" s="165"/>
      <c r="X388" s="165">
        <f>P388+Q388</f>
        <v>7950</v>
      </c>
      <c r="Y388" s="301" t="s">
        <v>594</v>
      </c>
      <c r="Z388" s="288"/>
      <c r="AA388" s="316"/>
      <c r="AB388" s="329"/>
      <c r="AC388" s="316"/>
    </row>
    <row r="389" spans="1:29" s="52" customFormat="1" ht="12.75" customHeight="1" x14ac:dyDescent="0.2">
      <c r="A389" s="48" t="s">
        <v>57</v>
      </c>
      <c r="B389" s="172" t="s">
        <v>130</v>
      </c>
      <c r="C389" s="43" t="s">
        <v>279</v>
      </c>
      <c r="D389" s="170" t="s">
        <v>280</v>
      </c>
      <c r="E389" s="44" t="s">
        <v>19</v>
      </c>
      <c r="F389" s="170" t="s">
        <v>58</v>
      </c>
      <c r="G389" s="170"/>
      <c r="H389" s="315">
        <f t="shared" ref="H389:N389" si="202">SUM(H390:H394)</f>
        <v>99000</v>
      </c>
      <c r="I389" s="315">
        <f t="shared" si="202"/>
        <v>5600</v>
      </c>
      <c r="J389" s="315">
        <f t="shared" si="202"/>
        <v>5600</v>
      </c>
      <c r="K389" s="369">
        <f t="shared" si="202"/>
        <v>0</v>
      </c>
      <c r="L389" s="369">
        <f t="shared" si="202"/>
        <v>0</v>
      </c>
      <c r="M389" s="369">
        <f t="shared" si="202"/>
        <v>0</v>
      </c>
      <c r="N389" s="369">
        <f t="shared" si="202"/>
        <v>104600</v>
      </c>
      <c r="O389" s="315">
        <f>SUM(O390:O394)</f>
        <v>79200</v>
      </c>
      <c r="P389" s="353">
        <f>SUM(P390:P395)</f>
        <v>16520</v>
      </c>
      <c r="Q389" s="353">
        <f t="shared" ref="Q389:X389" si="203">SUM(Q390:Q395)</f>
        <v>0</v>
      </c>
      <c r="R389" s="353">
        <f t="shared" si="203"/>
        <v>0</v>
      </c>
      <c r="S389" s="353">
        <f t="shared" si="203"/>
        <v>0</v>
      </c>
      <c r="T389" s="353">
        <f t="shared" si="203"/>
        <v>0</v>
      </c>
      <c r="U389" s="353">
        <f t="shared" si="203"/>
        <v>0</v>
      </c>
      <c r="V389" s="353">
        <f t="shared" si="203"/>
        <v>0</v>
      </c>
      <c r="W389" s="353"/>
      <c r="X389" s="353">
        <f t="shared" si="203"/>
        <v>16520</v>
      </c>
      <c r="Y389" s="369"/>
      <c r="Z389" s="289"/>
      <c r="AA389" s="319"/>
      <c r="AB389" s="395"/>
      <c r="AC389" s="319"/>
    </row>
    <row r="390" spans="1:29" ht="39" hidden="1" customHeight="1" x14ac:dyDescent="0.2">
      <c r="A390" s="38" t="s">
        <v>177</v>
      </c>
      <c r="B390" s="171"/>
      <c r="C390" s="8"/>
      <c r="D390" s="8"/>
      <c r="E390" s="9" t="s">
        <v>282</v>
      </c>
      <c r="F390" s="297"/>
      <c r="G390" s="297" t="s">
        <v>38</v>
      </c>
      <c r="H390" s="165">
        <v>35000</v>
      </c>
      <c r="I390" s="165">
        <f>SUM(J390:M390)</f>
        <v>0</v>
      </c>
      <c r="J390" s="165"/>
      <c r="K390" s="301"/>
      <c r="L390" s="301"/>
      <c r="M390" s="301"/>
      <c r="N390" s="293">
        <f>H390+I390</f>
        <v>35000</v>
      </c>
      <c r="O390" s="165">
        <f>35000*80%</f>
        <v>28000</v>
      </c>
      <c r="P390" s="260">
        <v>0</v>
      </c>
      <c r="Q390" s="165"/>
      <c r="R390" s="165"/>
      <c r="S390" s="165"/>
      <c r="T390" s="165"/>
      <c r="U390" s="165"/>
      <c r="V390" s="165"/>
      <c r="W390" s="165"/>
      <c r="X390" s="165"/>
      <c r="Y390" s="301"/>
      <c r="Z390" s="288"/>
      <c r="AA390" s="316"/>
      <c r="AB390" s="329"/>
      <c r="AC390" s="316"/>
    </row>
    <row r="391" spans="1:29" ht="27" customHeight="1" x14ac:dyDescent="0.2">
      <c r="A391" s="38" t="s">
        <v>106</v>
      </c>
      <c r="B391" s="171"/>
      <c r="C391" s="8"/>
      <c r="D391" s="8"/>
      <c r="E391" s="9" t="s">
        <v>44</v>
      </c>
      <c r="F391" s="297" t="s">
        <v>58</v>
      </c>
      <c r="G391" s="297" t="s">
        <v>60</v>
      </c>
      <c r="H391" s="165">
        <v>30000</v>
      </c>
      <c r="I391" s="165">
        <f>SUM(J391:M391)</f>
        <v>5600</v>
      </c>
      <c r="J391" s="165">
        <v>5600</v>
      </c>
      <c r="K391" s="301"/>
      <c r="L391" s="301"/>
      <c r="M391" s="301"/>
      <c r="N391" s="293">
        <f>H391+I391</f>
        <v>35600</v>
      </c>
      <c r="O391" s="165">
        <f>30000*80%</f>
        <v>24000</v>
      </c>
      <c r="P391" s="260">
        <v>16520</v>
      </c>
      <c r="Q391" s="165">
        <f>R391+S391+T391+U391+V391</f>
        <v>0</v>
      </c>
      <c r="R391" s="165">
        <v>0</v>
      </c>
      <c r="S391" s="165"/>
      <c r="T391" s="165"/>
      <c r="U391" s="165">
        <v>0</v>
      </c>
      <c r="V391" s="165"/>
      <c r="W391" s="165"/>
      <c r="X391" s="165">
        <f>P391+Q391</f>
        <v>16520</v>
      </c>
      <c r="Y391" s="301" t="s">
        <v>595</v>
      </c>
      <c r="Z391" s="288"/>
      <c r="AA391" s="316"/>
      <c r="AB391" s="329"/>
      <c r="AC391" s="316"/>
    </row>
    <row r="392" spans="1:29" ht="25.5" hidden="1" customHeight="1" x14ac:dyDescent="0.2">
      <c r="A392" s="38" t="s">
        <v>61</v>
      </c>
      <c r="B392" s="171"/>
      <c r="C392" s="8"/>
      <c r="D392" s="8"/>
      <c r="E392" s="9" t="s">
        <v>46</v>
      </c>
      <c r="F392" s="8"/>
      <c r="G392" s="8" t="s">
        <v>62</v>
      </c>
      <c r="H392" s="31">
        <v>0</v>
      </c>
      <c r="I392" s="31">
        <f>SUM(J392:M392)</f>
        <v>0</v>
      </c>
      <c r="J392" s="31"/>
      <c r="K392" s="32"/>
      <c r="L392" s="32"/>
      <c r="M392" s="32"/>
      <c r="N392" s="33">
        <f>H392+I392</f>
        <v>0</v>
      </c>
      <c r="O392" s="31">
        <v>0</v>
      </c>
      <c r="P392" s="260">
        <v>0</v>
      </c>
      <c r="Q392" s="165">
        <f>R392+S392+T392+U392</f>
        <v>0</v>
      </c>
      <c r="R392" s="165"/>
      <c r="S392" s="165"/>
      <c r="T392" s="165"/>
      <c r="U392" s="165"/>
      <c r="V392" s="165"/>
      <c r="W392" s="165"/>
      <c r="X392" s="165">
        <f>P392+Q392</f>
        <v>0</v>
      </c>
      <c r="Y392" s="301"/>
      <c r="Z392" s="288"/>
      <c r="AA392" s="316"/>
      <c r="AB392" s="329"/>
      <c r="AC392" s="316"/>
    </row>
    <row r="393" spans="1:29" ht="25.5" hidden="1" customHeight="1" x14ac:dyDescent="0.2">
      <c r="A393" s="38" t="s">
        <v>107</v>
      </c>
      <c r="B393" s="39"/>
      <c r="C393" s="8"/>
      <c r="D393" s="8"/>
      <c r="E393" s="9" t="s">
        <v>46</v>
      </c>
      <c r="F393" s="8"/>
      <c r="G393" s="8" t="s">
        <v>108</v>
      </c>
      <c r="H393" s="31">
        <v>34000</v>
      </c>
      <c r="I393" s="31">
        <f>SUM(J393:M393)</f>
        <v>0</v>
      </c>
      <c r="J393" s="31">
        <v>0</v>
      </c>
      <c r="K393" s="32">
        <v>0</v>
      </c>
      <c r="L393" s="32">
        <v>0</v>
      </c>
      <c r="M393" s="32">
        <v>0</v>
      </c>
      <c r="N393" s="33">
        <f>H393+I393</f>
        <v>34000</v>
      </c>
      <c r="O393" s="31">
        <f>34000*80%</f>
        <v>27200</v>
      </c>
      <c r="P393" s="260">
        <v>0</v>
      </c>
      <c r="Q393" s="165">
        <f>R393+S393+T393+U393</f>
        <v>0</v>
      </c>
      <c r="R393" s="165"/>
      <c r="S393" s="165"/>
      <c r="T393" s="165"/>
      <c r="U393" s="165"/>
      <c r="V393" s="165"/>
      <c r="W393" s="165"/>
      <c r="X393" s="165">
        <f>P393+Q393</f>
        <v>0</v>
      </c>
      <c r="Y393" s="301"/>
      <c r="Z393" s="288"/>
      <c r="AA393" s="316"/>
      <c r="AB393" s="329"/>
      <c r="AC393" s="316"/>
    </row>
    <row r="394" spans="1:29" ht="12.75" hidden="1" customHeight="1" x14ac:dyDescent="0.2">
      <c r="A394" s="38" t="s">
        <v>288</v>
      </c>
      <c r="B394" s="171"/>
      <c r="C394" s="8"/>
      <c r="D394" s="8"/>
      <c r="E394" s="9" t="s">
        <v>46</v>
      </c>
      <c r="F394" s="8"/>
      <c r="G394" s="8" t="s">
        <v>64</v>
      </c>
      <c r="H394" s="31">
        <v>0</v>
      </c>
      <c r="I394" s="31">
        <f>SUM(J394:M394)</f>
        <v>0</v>
      </c>
      <c r="J394" s="31"/>
      <c r="K394" s="32"/>
      <c r="L394" s="32"/>
      <c r="M394" s="32"/>
      <c r="N394" s="33">
        <f>H394+I394</f>
        <v>0</v>
      </c>
      <c r="O394" s="31">
        <v>0</v>
      </c>
      <c r="P394" s="260">
        <v>0</v>
      </c>
      <c r="Q394" s="165">
        <f>R394+S394+T394+U394</f>
        <v>0</v>
      </c>
      <c r="R394" s="165"/>
      <c r="S394" s="165"/>
      <c r="T394" s="165"/>
      <c r="U394" s="165"/>
      <c r="V394" s="165"/>
      <c r="W394" s="165"/>
      <c r="X394" s="165">
        <f>P394+Q394</f>
        <v>0</v>
      </c>
      <c r="Y394" s="301"/>
      <c r="Z394" s="288"/>
      <c r="AA394" s="316"/>
      <c r="AB394" s="329"/>
      <c r="AC394" s="316"/>
    </row>
    <row r="395" spans="1:29" ht="12.75" hidden="1" customHeight="1" x14ac:dyDescent="0.2">
      <c r="A395" s="38" t="s">
        <v>147</v>
      </c>
      <c r="B395" s="171"/>
      <c r="C395" s="8"/>
      <c r="D395" s="8"/>
      <c r="E395" s="9" t="s">
        <v>46</v>
      </c>
      <c r="F395" s="8"/>
      <c r="G395" s="8" t="s">
        <v>64</v>
      </c>
      <c r="H395" s="31"/>
      <c r="I395" s="31"/>
      <c r="J395" s="31"/>
      <c r="K395" s="32"/>
      <c r="L395" s="32"/>
      <c r="M395" s="32"/>
      <c r="N395" s="55"/>
      <c r="O395" s="31"/>
      <c r="P395" s="260">
        <v>0</v>
      </c>
      <c r="Q395" s="165">
        <f>R395+S395+T395+U395</f>
        <v>0</v>
      </c>
      <c r="R395" s="165">
        <v>0</v>
      </c>
      <c r="S395" s="165"/>
      <c r="T395" s="165"/>
      <c r="U395" s="165"/>
      <c r="V395" s="165"/>
      <c r="W395" s="165"/>
      <c r="X395" s="165">
        <f>P395+Q395</f>
        <v>0</v>
      </c>
      <c r="Y395" s="301"/>
      <c r="Z395" s="288"/>
      <c r="AA395" s="316"/>
      <c r="AB395" s="329"/>
      <c r="AC395" s="316"/>
    </row>
    <row r="396" spans="1:29" ht="12.75" customHeight="1" x14ac:dyDescent="0.2">
      <c r="A396" s="23" t="s">
        <v>65</v>
      </c>
      <c r="B396" s="173" t="s">
        <v>130</v>
      </c>
      <c r="C396" s="25" t="s">
        <v>279</v>
      </c>
      <c r="D396" s="170" t="s">
        <v>280</v>
      </c>
      <c r="E396" s="26" t="s">
        <v>19</v>
      </c>
      <c r="F396" s="25" t="s">
        <v>66</v>
      </c>
      <c r="G396" s="25"/>
      <c r="H396" s="31">
        <f t="shared" ref="H396:N396" si="204">SUM(H397:H399)</f>
        <v>2500</v>
      </c>
      <c r="I396" s="31">
        <f t="shared" si="204"/>
        <v>0</v>
      </c>
      <c r="J396" s="31">
        <f t="shared" si="204"/>
        <v>0</v>
      </c>
      <c r="K396" s="32">
        <f t="shared" si="204"/>
        <v>0</v>
      </c>
      <c r="L396" s="32">
        <f t="shared" si="204"/>
        <v>0</v>
      </c>
      <c r="M396" s="32">
        <f t="shared" si="204"/>
        <v>0</v>
      </c>
      <c r="N396" s="32">
        <f t="shared" si="204"/>
        <v>2500</v>
      </c>
      <c r="O396" s="31">
        <f>SUM(O397:O399)</f>
        <v>2500</v>
      </c>
      <c r="P396" s="353">
        <f>SUM(P397:P399)</f>
        <v>1498.3</v>
      </c>
      <c r="Q396" s="353">
        <f t="shared" ref="Q396:X396" si="205">SUM(Q397:Q399)</f>
        <v>0</v>
      </c>
      <c r="R396" s="353">
        <f t="shared" si="205"/>
        <v>0</v>
      </c>
      <c r="S396" s="353">
        <f t="shared" si="205"/>
        <v>0</v>
      </c>
      <c r="T396" s="353">
        <f t="shared" si="205"/>
        <v>0</v>
      </c>
      <c r="U396" s="353">
        <f t="shared" si="205"/>
        <v>0</v>
      </c>
      <c r="V396" s="353">
        <f t="shared" si="205"/>
        <v>0</v>
      </c>
      <c r="W396" s="353"/>
      <c r="X396" s="353">
        <f t="shared" si="205"/>
        <v>1498.3</v>
      </c>
      <c r="Y396" s="301"/>
      <c r="Z396" s="288"/>
      <c r="AA396" s="316"/>
      <c r="AB396" s="395"/>
      <c r="AC396" s="316"/>
    </row>
    <row r="397" spans="1:29" s="65" customFormat="1" ht="12.75" customHeight="1" x14ac:dyDescent="0.2">
      <c r="A397" s="80" t="s">
        <v>289</v>
      </c>
      <c r="B397" s="162"/>
      <c r="C397" s="30"/>
      <c r="D397" s="30"/>
      <c r="E397" s="62" t="s">
        <v>117</v>
      </c>
      <c r="F397" s="30" t="s">
        <v>494</v>
      </c>
      <c r="G397" s="30" t="s">
        <v>118</v>
      </c>
      <c r="H397" s="63">
        <v>2500</v>
      </c>
      <c r="I397" s="31">
        <f>SUM(J397:M397)</f>
        <v>0</v>
      </c>
      <c r="J397" s="63">
        <v>0</v>
      </c>
      <c r="K397" s="64">
        <v>0</v>
      </c>
      <c r="L397" s="64">
        <v>0</v>
      </c>
      <c r="M397" s="64">
        <v>0</v>
      </c>
      <c r="N397" s="33">
        <f>H397+I397</f>
        <v>2500</v>
      </c>
      <c r="O397" s="63">
        <v>2500</v>
      </c>
      <c r="P397" s="262">
        <v>1498.3</v>
      </c>
      <c r="Q397" s="163">
        <f>R397+S397+T397+U397+V397</f>
        <v>0</v>
      </c>
      <c r="R397" s="163">
        <v>0</v>
      </c>
      <c r="S397" s="163"/>
      <c r="T397" s="163"/>
      <c r="U397" s="163"/>
      <c r="V397" s="163"/>
      <c r="W397" s="163"/>
      <c r="X397" s="165">
        <f>P397+Q397</f>
        <v>1498.3</v>
      </c>
      <c r="Y397" s="292"/>
      <c r="Z397" s="290"/>
      <c r="AA397" s="320"/>
      <c r="AB397" s="332"/>
      <c r="AC397" s="320"/>
    </row>
    <row r="398" spans="1:29" ht="27" hidden="1" customHeight="1" x14ac:dyDescent="0.2">
      <c r="A398" s="6" t="s">
        <v>122</v>
      </c>
      <c r="B398" s="7"/>
      <c r="C398" s="8"/>
      <c r="D398" s="8"/>
      <c r="E398" s="9" t="s">
        <v>46</v>
      </c>
      <c r="F398" s="8"/>
      <c r="G398" s="8" t="s">
        <v>121</v>
      </c>
      <c r="H398" s="31">
        <v>0</v>
      </c>
      <c r="I398" s="31">
        <f>SUM(J398:M398)</f>
        <v>0</v>
      </c>
      <c r="J398" s="31">
        <v>0</v>
      </c>
      <c r="K398" s="32">
        <v>0</v>
      </c>
      <c r="L398" s="32">
        <v>0</v>
      </c>
      <c r="M398" s="32">
        <v>0</v>
      </c>
      <c r="N398" s="33">
        <f>H398+I398</f>
        <v>0</v>
      </c>
      <c r="O398" s="31">
        <v>0</v>
      </c>
      <c r="P398" s="260">
        <v>0</v>
      </c>
      <c r="Q398" s="163">
        <f t="shared" ref="Q398" si="206">R398+S398+T398+U398+V398</f>
        <v>0</v>
      </c>
      <c r="R398" s="165"/>
      <c r="S398" s="163"/>
      <c r="T398" s="163"/>
      <c r="U398" s="163"/>
      <c r="V398" s="163"/>
      <c r="W398" s="163"/>
      <c r="X398" s="165"/>
      <c r="Y398" s="301"/>
      <c r="Z398" s="288"/>
      <c r="AA398" s="316"/>
      <c r="AB398" s="329"/>
      <c r="AC398" s="316"/>
    </row>
    <row r="399" spans="1:29" ht="27" hidden="1" customHeight="1" x14ac:dyDescent="0.2">
      <c r="A399" s="6" t="s">
        <v>122</v>
      </c>
      <c r="B399" s="7"/>
      <c r="C399" s="8"/>
      <c r="D399" s="8"/>
      <c r="E399" s="9" t="s">
        <v>123</v>
      </c>
      <c r="F399" s="8" t="s">
        <v>495</v>
      </c>
      <c r="G399" s="8" t="s">
        <v>121</v>
      </c>
      <c r="H399" s="31">
        <v>0</v>
      </c>
      <c r="I399" s="31">
        <f>SUM(J399:M399)</f>
        <v>0</v>
      </c>
      <c r="J399" s="31">
        <v>0</v>
      </c>
      <c r="K399" s="32">
        <v>0</v>
      </c>
      <c r="L399" s="32">
        <v>0</v>
      </c>
      <c r="M399" s="32">
        <v>0</v>
      </c>
      <c r="N399" s="33">
        <f>H399+I399</f>
        <v>0</v>
      </c>
      <c r="O399" s="31">
        <v>0</v>
      </c>
      <c r="P399" s="260">
        <v>0</v>
      </c>
      <c r="Q399" s="163">
        <f>R399+S399+T399+U399+V399</f>
        <v>0</v>
      </c>
      <c r="R399" s="165">
        <v>0</v>
      </c>
      <c r="S399" s="163"/>
      <c r="T399" s="163"/>
      <c r="U399" s="163"/>
      <c r="V399" s="163"/>
      <c r="W399" s="163"/>
      <c r="X399" s="165">
        <f>P399+Q399</f>
        <v>0</v>
      </c>
      <c r="Y399" s="301"/>
      <c r="Z399" s="288"/>
      <c r="AA399" s="316"/>
      <c r="AB399" s="329"/>
      <c r="AC399" s="316"/>
    </row>
    <row r="400" spans="1:29" ht="12.75" customHeight="1" x14ac:dyDescent="0.2">
      <c r="A400" s="23" t="s">
        <v>70</v>
      </c>
      <c r="B400" s="173" t="s">
        <v>130</v>
      </c>
      <c r="C400" s="25" t="s">
        <v>279</v>
      </c>
      <c r="D400" s="170" t="s">
        <v>280</v>
      </c>
      <c r="E400" s="44" t="s">
        <v>46</v>
      </c>
      <c r="F400" s="43" t="s">
        <v>71</v>
      </c>
      <c r="G400" s="43"/>
      <c r="H400" s="45">
        <f t="shared" ref="H400:N400" si="207">H401+H404</f>
        <v>60000</v>
      </c>
      <c r="I400" s="45">
        <f t="shared" si="207"/>
        <v>0</v>
      </c>
      <c r="J400" s="45">
        <f t="shared" si="207"/>
        <v>0</v>
      </c>
      <c r="K400" s="46">
        <f t="shared" si="207"/>
        <v>0</v>
      </c>
      <c r="L400" s="46">
        <f t="shared" si="207"/>
        <v>0</v>
      </c>
      <c r="M400" s="46">
        <f t="shared" si="207"/>
        <v>0</v>
      </c>
      <c r="N400" s="47">
        <f t="shared" si="207"/>
        <v>60000</v>
      </c>
      <c r="O400" s="45">
        <f>O401+O404</f>
        <v>48000</v>
      </c>
      <c r="P400" s="353">
        <f>P401+P404</f>
        <v>12000</v>
      </c>
      <c r="Q400" s="353">
        <f t="shared" ref="Q400:X400" si="208">Q401+Q404</f>
        <v>1000</v>
      </c>
      <c r="R400" s="353">
        <f t="shared" si="208"/>
        <v>0</v>
      </c>
      <c r="S400" s="353">
        <f t="shared" si="208"/>
        <v>0</v>
      </c>
      <c r="T400" s="353">
        <f t="shared" si="208"/>
        <v>0</v>
      </c>
      <c r="U400" s="353">
        <f t="shared" si="208"/>
        <v>1000</v>
      </c>
      <c r="V400" s="353">
        <f t="shared" si="208"/>
        <v>0</v>
      </c>
      <c r="W400" s="353"/>
      <c r="X400" s="353">
        <f t="shared" si="208"/>
        <v>13000</v>
      </c>
      <c r="Y400" s="301"/>
      <c r="Z400" s="288"/>
      <c r="AA400" s="316"/>
      <c r="AB400" s="395"/>
      <c r="AC400" s="316"/>
    </row>
    <row r="401" spans="1:29" ht="12.75" hidden="1" customHeight="1" x14ac:dyDescent="0.2">
      <c r="A401" s="6" t="s">
        <v>72</v>
      </c>
      <c r="B401" s="171" t="s">
        <v>130</v>
      </c>
      <c r="C401" s="8" t="s">
        <v>279</v>
      </c>
      <c r="D401" s="169" t="s">
        <v>280</v>
      </c>
      <c r="E401" s="9" t="s">
        <v>19</v>
      </c>
      <c r="F401" s="8" t="s">
        <v>73</v>
      </c>
      <c r="G401" s="8"/>
      <c r="H401" s="31">
        <f>SUM(H402:H403)</f>
        <v>0</v>
      </c>
      <c r="I401" s="31">
        <f t="shared" ref="I401:N401" si="209">I402</f>
        <v>0</v>
      </c>
      <c r="J401" s="31">
        <f t="shared" si="209"/>
        <v>0</v>
      </c>
      <c r="K401" s="32">
        <f t="shared" si="209"/>
        <v>0</v>
      </c>
      <c r="L401" s="32">
        <f t="shared" si="209"/>
        <v>0</v>
      </c>
      <c r="M401" s="32">
        <f t="shared" si="209"/>
        <v>0</v>
      </c>
      <c r="N401" s="33">
        <f t="shared" si="209"/>
        <v>0</v>
      </c>
      <c r="O401" s="31">
        <f>SUM(O402:O403)</f>
        <v>0</v>
      </c>
      <c r="P401" s="260">
        <f>SUM(P402:P403)</f>
        <v>0</v>
      </c>
      <c r="Q401" s="165">
        <f t="shared" ref="Q401:X401" si="210">Q402+Q403</f>
        <v>0</v>
      </c>
      <c r="R401" s="165">
        <f t="shared" si="210"/>
        <v>0</v>
      </c>
      <c r="S401" s="165">
        <f t="shared" si="210"/>
        <v>0</v>
      </c>
      <c r="T401" s="165">
        <f t="shared" si="210"/>
        <v>0</v>
      </c>
      <c r="U401" s="165">
        <f t="shared" si="210"/>
        <v>0</v>
      </c>
      <c r="V401" s="165"/>
      <c r="W401" s="165"/>
      <c r="X401" s="165">
        <f t="shared" si="210"/>
        <v>0</v>
      </c>
      <c r="Y401" s="301"/>
      <c r="Z401" s="288"/>
      <c r="AA401" s="316"/>
      <c r="AB401" s="329"/>
      <c r="AC401" s="316"/>
    </row>
    <row r="402" spans="1:29" ht="55.5" hidden="1" customHeight="1" x14ac:dyDescent="0.2">
      <c r="A402" s="40" t="s">
        <v>124</v>
      </c>
      <c r="B402" s="138"/>
      <c r="C402" s="8"/>
      <c r="D402" s="8"/>
      <c r="E402" s="9" t="s">
        <v>44</v>
      </c>
      <c r="F402" s="8"/>
      <c r="G402" s="8" t="s">
        <v>75</v>
      </c>
      <c r="H402" s="31">
        <v>0</v>
      </c>
      <c r="I402" s="31">
        <f>SUM(J402:M402)</f>
        <v>0</v>
      </c>
      <c r="J402" s="31"/>
      <c r="K402" s="32"/>
      <c r="L402" s="32"/>
      <c r="M402" s="32"/>
      <c r="N402" s="33">
        <f>H402+I402</f>
        <v>0</v>
      </c>
      <c r="O402" s="31">
        <v>0</v>
      </c>
      <c r="P402" s="260">
        <v>0</v>
      </c>
      <c r="Q402" s="165">
        <f>R402+S402+T402+U402</f>
        <v>0</v>
      </c>
      <c r="R402" s="165">
        <v>0</v>
      </c>
      <c r="S402" s="165"/>
      <c r="T402" s="165"/>
      <c r="U402" s="165"/>
      <c r="V402" s="165"/>
      <c r="W402" s="165"/>
      <c r="X402" s="165">
        <f>P402+Q402</f>
        <v>0</v>
      </c>
      <c r="Y402" s="301"/>
      <c r="Z402" s="288"/>
      <c r="AA402" s="316"/>
      <c r="AB402" s="329"/>
      <c r="AC402" s="316"/>
    </row>
    <row r="403" spans="1:29" ht="55.5" hidden="1" customHeight="1" x14ac:dyDescent="0.2">
      <c r="A403" s="40" t="s">
        <v>124</v>
      </c>
      <c r="B403" s="138"/>
      <c r="C403" s="8"/>
      <c r="D403" s="8"/>
      <c r="E403" s="9" t="s">
        <v>46</v>
      </c>
      <c r="F403" s="8"/>
      <c r="G403" s="8" t="s">
        <v>75</v>
      </c>
      <c r="H403" s="31">
        <v>0</v>
      </c>
      <c r="I403" s="31"/>
      <c r="J403" s="31"/>
      <c r="K403" s="32"/>
      <c r="L403" s="32"/>
      <c r="M403" s="32"/>
      <c r="N403" s="33"/>
      <c r="O403" s="31">
        <v>0</v>
      </c>
      <c r="P403" s="260">
        <v>0</v>
      </c>
      <c r="Q403" s="165">
        <f>R403+S403+T403+U403</f>
        <v>0</v>
      </c>
      <c r="R403" s="165"/>
      <c r="S403" s="165"/>
      <c r="T403" s="165"/>
      <c r="U403" s="165"/>
      <c r="V403" s="165"/>
      <c r="W403" s="165"/>
      <c r="X403" s="165">
        <f>P403+Q403</f>
        <v>0</v>
      </c>
      <c r="Y403" s="301"/>
      <c r="Z403" s="288"/>
      <c r="AA403" s="316"/>
      <c r="AB403" s="329"/>
      <c r="AC403" s="316"/>
    </row>
    <row r="404" spans="1:29" ht="15" customHeight="1" x14ac:dyDescent="0.2">
      <c r="A404" s="6" t="s">
        <v>76</v>
      </c>
      <c r="B404" s="171" t="s">
        <v>130</v>
      </c>
      <c r="C404" s="8" t="s">
        <v>279</v>
      </c>
      <c r="D404" s="169" t="s">
        <v>280</v>
      </c>
      <c r="E404" s="9" t="s">
        <v>19</v>
      </c>
      <c r="F404" s="8" t="s">
        <v>77</v>
      </c>
      <c r="G404" s="8"/>
      <c r="H404" s="31">
        <f t="shared" ref="H404:N404" si="211">SUM(H405:H406)</f>
        <v>60000</v>
      </c>
      <c r="I404" s="31">
        <f t="shared" si="211"/>
        <v>0</v>
      </c>
      <c r="J404" s="31">
        <f t="shared" si="211"/>
        <v>0</v>
      </c>
      <c r="K404" s="32">
        <f t="shared" si="211"/>
        <v>0</v>
      </c>
      <c r="L404" s="32">
        <f t="shared" si="211"/>
        <v>0</v>
      </c>
      <c r="M404" s="32">
        <f t="shared" si="211"/>
        <v>0</v>
      </c>
      <c r="N404" s="33">
        <f t="shared" si="211"/>
        <v>60000</v>
      </c>
      <c r="O404" s="31">
        <f>SUM(O405:O406)</f>
        <v>48000</v>
      </c>
      <c r="P404" s="260">
        <f>SUM(P405:P406)</f>
        <v>12000</v>
      </c>
      <c r="Q404" s="260">
        <f t="shared" ref="Q404:X404" si="212">SUM(Q405:Q406)</f>
        <v>1000</v>
      </c>
      <c r="R404" s="260">
        <f t="shared" si="212"/>
        <v>0</v>
      </c>
      <c r="S404" s="260">
        <f t="shared" si="212"/>
        <v>0</v>
      </c>
      <c r="T404" s="260">
        <f t="shared" si="212"/>
        <v>0</v>
      </c>
      <c r="U404" s="260">
        <f t="shared" si="212"/>
        <v>1000</v>
      </c>
      <c r="V404" s="260">
        <f t="shared" si="212"/>
        <v>0</v>
      </c>
      <c r="W404" s="260"/>
      <c r="X404" s="260">
        <f t="shared" si="212"/>
        <v>13000</v>
      </c>
      <c r="Y404" s="301"/>
      <c r="Z404" s="288"/>
      <c r="AA404" s="316"/>
      <c r="AB404" s="389"/>
      <c r="AC404" s="316"/>
    </row>
    <row r="405" spans="1:29" ht="23.25" customHeight="1" x14ac:dyDescent="0.2">
      <c r="A405" s="40" t="s">
        <v>179</v>
      </c>
      <c r="B405" s="171"/>
      <c r="C405" s="8"/>
      <c r="D405" s="8"/>
      <c r="E405" s="9" t="s">
        <v>44</v>
      </c>
      <c r="F405" s="297" t="s">
        <v>554</v>
      </c>
      <c r="G405" s="297" t="s">
        <v>81</v>
      </c>
      <c r="H405" s="165">
        <v>40000</v>
      </c>
      <c r="I405" s="165">
        <f>SUM(J405:M405)</f>
        <v>0</v>
      </c>
      <c r="J405" s="165"/>
      <c r="K405" s="301"/>
      <c r="L405" s="301"/>
      <c r="M405" s="301"/>
      <c r="N405" s="293">
        <f>H405+I405</f>
        <v>40000</v>
      </c>
      <c r="O405" s="165">
        <f>40000*80%</f>
        <v>32000</v>
      </c>
      <c r="P405" s="260">
        <v>8000</v>
      </c>
      <c r="Q405" s="165">
        <f>R405+S405+T405+U405+V405</f>
        <v>0</v>
      </c>
      <c r="R405" s="165">
        <v>0</v>
      </c>
      <c r="S405" s="165"/>
      <c r="T405" s="165"/>
      <c r="U405" s="165">
        <v>0</v>
      </c>
      <c r="V405" s="165"/>
      <c r="W405" s="165"/>
      <c r="X405" s="165">
        <f>P405+Q405</f>
        <v>8000</v>
      </c>
      <c r="Y405" s="301" t="s">
        <v>595</v>
      </c>
      <c r="Z405" s="288"/>
      <c r="AA405" s="316"/>
      <c r="AB405" s="329"/>
      <c r="AC405" s="316"/>
    </row>
    <row r="406" spans="1:29" s="316" customFormat="1" ht="25.5" customHeight="1" x14ac:dyDescent="0.2">
      <c r="A406" s="164" t="s">
        <v>179</v>
      </c>
      <c r="B406" s="296"/>
      <c r="C406" s="297"/>
      <c r="D406" s="297"/>
      <c r="E406" s="298" t="s">
        <v>46</v>
      </c>
      <c r="F406" s="297" t="s">
        <v>554</v>
      </c>
      <c r="G406" s="297" t="s">
        <v>81</v>
      </c>
      <c r="H406" s="165">
        <v>20000</v>
      </c>
      <c r="I406" s="165">
        <f>SUM(J406:M406)</f>
        <v>0</v>
      </c>
      <c r="J406" s="165"/>
      <c r="K406" s="301"/>
      <c r="L406" s="301"/>
      <c r="M406" s="301"/>
      <c r="N406" s="293">
        <f>H406+I406</f>
        <v>20000</v>
      </c>
      <c r="O406" s="165">
        <f>20000*80%</f>
        <v>16000</v>
      </c>
      <c r="P406" s="260">
        <v>4000</v>
      </c>
      <c r="Q406" s="165">
        <f>R406+S406+T406+U406+V406</f>
        <v>1000</v>
      </c>
      <c r="R406" s="165">
        <v>0</v>
      </c>
      <c r="S406" s="165"/>
      <c r="T406" s="165"/>
      <c r="U406" s="165">
        <v>1000</v>
      </c>
      <c r="V406" s="165"/>
      <c r="W406" s="165"/>
      <c r="X406" s="165">
        <f>P406+Q406</f>
        <v>5000</v>
      </c>
      <c r="Y406" s="301" t="s">
        <v>595</v>
      </c>
      <c r="Z406" s="288"/>
      <c r="AB406" s="329"/>
    </row>
    <row r="407" spans="1:29" ht="25.5" customHeight="1" x14ac:dyDescent="0.2">
      <c r="A407" s="174" t="s">
        <v>406</v>
      </c>
      <c r="B407" s="175" t="s">
        <v>130</v>
      </c>
      <c r="C407" s="176" t="s">
        <v>407</v>
      </c>
      <c r="D407" s="176" t="s">
        <v>18</v>
      </c>
      <c r="E407" s="177" t="s">
        <v>19</v>
      </c>
      <c r="F407" s="176"/>
      <c r="G407" s="176"/>
      <c r="H407" s="178"/>
      <c r="I407" s="178"/>
      <c r="J407" s="178"/>
      <c r="K407" s="273"/>
      <c r="L407" s="273"/>
      <c r="M407" s="273"/>
      <c r="N407" s="274"/>
      <c r="O407" s="178"/>
      <c r="P407" s="511">
        <f>P408+P409</f>
        <v>0</v>
      </c>
      <c r="Q407" s="511">
        <f t="shared" ref="Q407:X407" si="213">Q408+Q409</f>
        <v>500000</v>
      </c>
      <c r="R407" s="511">
        <f t="shared" si="213"/>
        <v>0</v>
      </c>
      <c r="S407" s="511">
        <f t="shared" si="213"/>
        <v>0</v>
      </c>
      <c r="T407" s="511">
        <f t="shared" si="213"/>
        <v>500000</v>
      </c>
      <c r="U407" s="511">
        <f t="shared" si="213"/>
        <v>0</v>
      </c>
      <c r="V407" s="511">
        <f t="shared" si="213"/>
        <v>0</v>
      </c>
      <c r="W407" s="511"/>
      <c r="X407" s="511">
        <f t="shared" si="213"/>
        <v>500000</v>
      </c>
      <c r="Y407" s="301"/>
      <c r="Z407" s="288"/>
      <c r="AA407" s="316"/>
      <c r="AB407" s="395"/>
      <c r="AC407" s="316"/>
    </row>
    <row r="408" spans="1:29" ht="63" customHeight="1" x14ac:dyDescent="0.2">
      <c r="A408" s="40" t="s">
        <v>471</v>
      </c>
      <c r="B408" s="138"/>
      <c r="C408" s="8"/>
      <c r="D408" s="8" t="s">
        <v>470</v>
      </c>
      <c r="E408" s="9" t="s">
        <v>46</v>
      </c>
      <c r="F408" s="8" t="s">
        <v>51</v>
      </c>
      <c r="G408" s="8" t="s">
        <v>53</v>
      </c>
      <c r="H408" s="31"/>
      <c r="I408" s="31"/>
      <c r="J408" s="31"/>
      <c r="K408" s="32"/>
      <c r="L408" s="32"/>
      <c r="M408" s="32"/>
      <c r="N408" s="55"/>
      <c r="O408" s="31"/>
      <c r="P408" s="260">
        <v>0</v>
      </c>
      <c r="Q408" s="165">
        <f>R408+S408+T408+U408+V408</f>
        <v>500000</v>
      </c>
      <c r="R408" s="165"/>
      <c r="S408" s="165"/>
      <c r="T408" s="165">
        <v>500000</v>
      </c>
      <c r="U408" s="165"/>
      <c r="V408" s="165"/>
      <c r="W408" s="165"/>
      <c r="X408" s="165">
        <f>P408+Q408</f>
        <v>500000</v>
      </c>
      <c r="Y408" s="301"/>
      <c r="Z408" s="288"/>
      <c r="AA408" s="316"/>
      <c r="AB408" s="329"/>
      <c r="AC408" s="316"/>
    </row>
    <row r="409" spans="1:29" ht="25.5" hidden="1" customHeight="1" x14ac:dyDescent="0.2">
      <c r="A409" s="38" t="s">
        <v>413</v>
      </c>
      <c r="B409" s="138"/>
      <c r="C409" s="8"/>
      <c r="D409" s="8" t="s">
        <v>456</v>
      </c>
      <c r="E409" s="9" t="s">
        <v>46</v>
      </c>
      <c r="F409" s="8" t="s">
        <v>58</v>
      </c>
      <c r="G409" s="8" t="s">
        <v>64</v>
      </c>
      <c r="H409" s="31"/>
      <c r="I409" s="31"/>
      <c r="J409" s="31"/>
      <c r="K409" s="32"/>
      <c r="L409" s="32"/>
      <c r="M409" s="32"/>
      <c r="N409" s="55"/>
      <c r="O409" s="31"/>
      <c r="P409" s="260">
        <v>0</v>
      </c>
      <c r="Q409" s="165">
        <f>R409+S409+T409+U409+V409</f>
        <v>0</v>
      </c>
      <c r="R409" s="165"/>
      <c r="S409" s="165"/>
      <c r="T409" s="165"/>
      <c r="U409" s="165"/>
      <c r="V409" s="165"/>
      <c r="W409" s="165"/>
      <c r="X409" s="165">
        <f>P409+Q409</f>
        <v>0</v>
      </c>
      <c r="Y409" s="301"/>
      <c r="Z409" s="288"/>
      <c r="AA409" s="316"/>
      <c r="AB409" s="329"/>
      <c r="AC409" s="316"/>
    </row>
    <row r="410" spans="1:29" s="52" customFormat="1" ht="25.5" hidden="1" customHeight="1" x14ac:dyDescent="0.2">
      <c r="A410" s="174" t="s">
        <v>290</v>
      </c>
      <c r="B410" s="175" t="s">
        <v>130</v>
      </c>
      <c r="C410" s="176" t="s">
        <v>291</v>
      </c>
      <c r="D410" s="13" t="s">
        <v>18</v>
      </c>
      <c r="E410" s="177" t="s">
        <v>19</v>
      </c>
      <c r="F410" s="176"/>
      <c r="G410" s="176"/>
      <c r="H410" s="178">
        <f t="shared" ref="H410:O410" si="214">H411+H413</f>
        <v>60000</v>
      </c>
      <c r="I410" s="178">
        <f t="shared" si="214"/>
        <v>0</v>
      </c>
      <c r="J410" s="178">
        <f t="shared" si="214"/>
        <v>0</v>
      </c>
      <c r="K410" s="178">
        <f t="shared" si="214"/>
        <v>0</v>
      </c>
      <c r="L410" s="178">
        <f t="shared" si="214"/>
        <v>0</v>
      </c>
      <c r="M410" s="178">
        <f t="shared" si="214"/>
        <v>0</v>
      </c>
      <c r="N410" s="178">
        <f t="shared" si="214"/>
        <v>60000</v>
      </c>
      <c r="O410" s="178">
        <f t="shared" si="214"/>
        <v>48000</v>
      </c>
      <c r="P410" s="353">
        <f t="shared" ref="P410:X410" si="215">P411+P413+P416+P417</f>
        <v>0</v>
      </c>
      <c r="Q410" s="353">
        <f t="shared" si="215"/>
        <v>0</v>
      </c>
      <c r="R410" s="353">
        <f t="shared" si="215"/>
        <v>0</v>
      </c>
      <c r="S410" s="353">
        <f t="shared" si="215"/>
        <v>0</v>
      </c>
      <c r="T410" s="353">
        <f t="shared" si="215"/>
        <v>0</v>
      </c>
      <c r="U410" s="353">
        <f t="shared" si="215"/>
        <v>0</v>
      </c>
      <c r="V410" s="353">
        <f t="shared" si="215"/>
        <v>0</v>
      </c>
      <c r="W410" s="353"/>
      <c r="X410" s="353">
        <f t="shared" si="215"/>
        <v>0</v>
      </c>
      <c r="Y410" s="380"/>
      <c r="Z410" s="289"/>
      <c r="AA410" s="319"/>
      <c r="AB410" s="395"/>
      <c r="AC410" s="319"/>
    </row>
    <row r="411" spans="1:29" ht="25.5" hidden="1" customHeight="1" x14ac:dyDescent="0.2">
      <c r="A411" s="141" t="s">
        <v>292</v>
      </c>
      <c r="B411" s="82">
        <v>804</v>
      </c>
      <c r="C411" s="83" t="s">
        <v>293</v>
      </c>
      <c r="D411" s="83" t="s">
        <v>457</v>
      </c>
      <c r="E411" s="84" t="s">
        <v>46</v>
      </c>
      <c r="F411" s="83" t="s">
        <v>58</v>
      </c>
      <c r="G411" s="83"/>
      <c r="H411" s="142">
        <f>H412</f>
        <v>20000</v>
      </c>
      <c r="I411" s="142">
        <f t="shared" ref="I411:N411" si="216">I412</f>
        <v>-19955</v>
      </c>
      <c r="J411" s="142">
        <f t="shared" si="216"/>
        <v>-19955</v>
      </c>
      <c r="K411" s="143">
        <f t="shared" si="216"/>
        <v>0</v>
      </c>
      <c r="L411" s="143">
        <f t="shared" si="216"/>
        <v>0</v>
      </c>
      <c r="M411" s="143">
        <f t="shared" si="216"/>
        <v>0</v>
      </c>
      <c r="N411" s="144">
        <f t="shared" si="216"/>
        <v>45</v>
      </c>
      <c r="O411" s="142">
        <f>O412</f>
        <v>16000</v>
      </c>
      <c r="P411" s="353">
        <f>P412</f>
        <v>0</v>
      </c>
      <c r="Q411" s="353">
        <f t="shared" ref="Q411:X411" si="217">Q412</f>
        <v>0</v>
      </c>
      <c r="R411" s="353">
        <f t="shared" si="217"/>
        <v>0</v>
      </c>
      <c r="S411" s="353">
        <f t="shared" si="217"/>
        <v>0</v>
      </c>
      <c r="T411" s="353">
        <f t="shared" si="217"/>
        <v>0</v>
      </c>
      <c r="U411" s="353">
        <f t="shared" si="217"/>
        <v>0</v>
      </c>
      <c r="V411" s="353">
        <f t="shared" si="217"/>
        <v>0</v>
      </c>
      <c r="W411" s="353"/>
      <c r="X411" s="353">
        <f t="shared" si="217"/>
        <v>0</v>
      </c>
      <c r="Y411" s="301"/>
      <c r="Z411" s="288"/>
      <c r="AA411" s="316"/>
      <c r="AB411" s="395"/>
      <c r="AC411" s="316"/>
    </row>
    <row r="412" spans="1:29" ht="25.5" hidden="1" customHeight="1" x14ac:dyDescent="0.2">
      <c r="A412" s="38" t="s">
        <v>294</v>
      </c>
      <c r="B412" s="39"/>
      <c r="C412" s="8"/>
      <c r="D412" s="8"/>
      <c r="E412" s="9"/>
      <c r="F412" s="8"/>
      <c r="G412" s="8" t="s">
        <v>64</v>
      </c>
      <c r="H412" s="31">
        <v>20000</v>
      </c>
      <c r="I412" s="31">
        <f>SUM(J412:M412)</f>
        <v>-19955</v>
      </c>
      <c r="J412" s="31">
        <f>-18455-1500</f>
        <v>-19955</v>
      </c>
      <c r="K412" s="32"/>
      <c r="L412" s="32"/>
      <c r="M412" s="32"/>
      <c r="N412" s="33">
        <f>H412+I412</f>
        <v>45</v>
      </c>
      <c r="O412" s="31">
        <f>20000*80%</f>
        <v>16000</v>
      </c>
      <c r="P412" s="260">
        <v>0</v>
      </c>
      <c r="Q412" s="165">
        <f>R412+S412+T412+U412+V412</f>
        <v>0</v>
      </c>
      <c r="R412" s="165">
        <v>0</v>
      </c>
      <c r="S412" s="165"/>
      <c r="T412" s="165">
        <v>0</v>
      </c>
      <c r="U412" s="165">
        <v>0</v>
      </c>
      <c r="V412" s="165"/>
      <c r="W412" s="165"/>
      <c r="X412" s="165">
        <f>P412+Q412</f>
        <v>0</v>
      </c>
      <c r="Y412" s="301"/>
      <c r="Z412" s="288"/>
      <c r="AA412" s="316"/>
      <c r="AB412" s="329"/>
      <c r="AC412" s="316"/>
    </row>
    <row r="413" spans="1:29" s="65" customFormat="1" ht="25.5" hidden="1" customHeight="1" x14ac:dyDescent="0.2">
      <c r="A413" s="179" t="s">
        <v>294</v>
      </c>
      <c r="B413" s="180">
        <v>804</v>
      </c>
      <c r="C413" s="181" t="s">
        <v>293</v>
      </c>
      <c r="D413" s="83" t="s">
        <v>457</v>
      </c>
      <c r="E413" s="182" t="s">
        <v>46</v>
      </c>
      <c r="F413" s="181" t="s">
        <v>19</v>
      </c>
      <c r="G413" s="181"/>
      <c r="H413" s="183">
        <f>SUM(H414:H415)</f>
        <v>40000</v>
      </c>
      <c r="I413" s="183">
        <f t="shared" ref="I413:N413" si="218">SUM(I414:I415)</f>
        <v>19955</v>
      </c>
      <c r="J413" s="183">
        <f t="shared" si="218"/>
        <v>19955</v>
      </c>
      <c r="K413" s="183">
        <f t="shared" si="218"/>
        <v>0</v>
      </c>
      <c r="L413" s="183">
        <f t="shared" si="218"/>
        <v>0</v>
      </c>
      <c r="M413" s="183">
        <f t="shared" si="218"/>
        <v>0</v>
      </c>
      <c r="N413" s="183">
        <f t="shared" si="218"/>
        <v>59955</v>
      </c>
      <c r="O413" s="183">
        <f>SUM(O414:O415)</f>
        <v>32000</v>
      </c>
      <c r="P413" s="262">
        <f>P415+P418</f>
        <v>0</v>
      </c>
      <c r="Q413" s="262">
        <f t="shared" ref="Q413:X413" si="219">Q415+Q418</f>
        <v>0</v>
      </c>
      <c r="R413" s="262">
        <f t="shared" si="219"/>
        <v>0</v>
      </c>
      <c r="S413" s="262">
        <f t="shared" si="219"/>
        <v>0</v>
      </c>
      <c r="T413" s="262">
        <f t="shared" si="219"/>
        <v>0</v>
      </c>
      <c r="U413" s="262">
        <f t="shared" si="219"/>
        <v>0</v>
      </c>
      <c r="V413" s="262">
        <f t="shared" si="219"/>
        <v>0</v>
      </c>
      <c r="W413" s="262"/>
      <c r="X413" s="262">
        <f t="shared" si="219"/>
        <v>0</v>
      </c>
      <c r="Y413" s="213"/>
      <c r="Z413" s="290"/>
      <c r="AA413" s="320"/>
      <c r="AB413" s="398"/>
      <c r="AC413" s="320"/>
    </row>
    <row r="414" spans="1:29" ht="25.5" hidden="1" customHeight="1" x14ac:dyDescent="0.2">
      <c r="A414" s="38" t="s">
        <v>294</v>
      </c>
      <c r="B414" s="39"/>
      <c r="C414" s="8"/>
      <c r="D414" s="8"/>
      <c r="E414" s="9"/>
      <c r="F414" s="8"/>
      <c r="G414" s="8"/>
      <c r="H414" s="31">
        <v>0</v>
      </c>
      <c r="I414" s="31">
        <f>SUM(J414:M414)</f>
        <v>18455</v>
      </c>
      <c r="J414" s="31">
        <v>18455</v>
      </c>
      <c r="K414" s="32"/>
      <c r="L414" s="32"/>
      <c r="M414" s="32"/>
      <c r="N414" s="33">
        <f>H414+I414</f>
        <v>18455</v>
      </c>
      <c r="O414" s="31">
        <v>0</v>
      </c>
      <c r="P414" s="260">
        <v>0</v>
      </c>
      <c r="Q414" s="165"/>
      <c r="R414" s="165"/>
      <c r="S414" s="165"/>
      <c r="T414" s="165"/>
      <c r="U414" s="165"/>
      <c r="V414" s="165"/>
      <c r="W414" s="165"/>
      <c r="X414" s="165"/>
      <c r="Y414" s="301"/>
      <c r="Z414" s="288"/>
      <c r="AA414" s="316"/>
      <c r="AB414" s="329"/>
      <c r="AC414" s="316"/>
    </row>
    <row r="415" spans="1:29" ht="25.5" hidden="1" customHeight="1" x14ac:dyDescent="0.2">
      <c r="A415" s="38" t="s">
        <v>294</v>
      </c>
      <c r="B415" s="39"/>
      <c r="C415" s="8"/>
      <c r="D415" s="8"/>
      <c r="E415" s="9"/>
      <c r="F415" s="297" t="s">
        <v>554</v>
      </c>
      <c r="G415" s="297" t="s">
        <v>81</v>
      </c>
      <c r="H415" s="165">
        <v>40000</v>
      </c>
      <c r="I415" s="165">
        <f>SUM(J415:M415)</f>
        <v>1500</v>
      </c>
      <c r="J415" s="165">
        <v>1500</v>
      </c>
      <c r="K415" s="301"/>
      <c r="L415" s="301"/>
      <c r="M415" s="301"/>
      <c r="N415" s="293">
        <f>H415+I415</f>
        <v>41500</v>
      </c>
      <c r="O415" s="165">
        <f>40000*80%</f>
        <v>32000</v>
      </c>
      <c r="P415" s="260">
        <v>0</v>
      </c>
      <c r="Q415" s="165">
        <f>R415+S415+T415+U415+V415</f>
        <v>0</v>
      </c>
      <c r="R415" s="165">
        <v>0</v>
      </c>
      <c r="S415" s="165"/>
      <c r="T415" s="165"/>
      <c r="U415" s="165">
        <v>0</v>
      </c>
      <c r="V415" s="165"/>
      <c r="W415" s="165"/>
      <c r="X415" s="165">
        <f>P415+Q415</f>
        <v>0</v>
      </c>
      <c r="Y415" s="301"/>
      <c r="Z415" s="288"/>
      <c r="AA415" s="316"/>
      <c r="AB415" s="329"/>
      <c r="AC415" s="316"/>
    </row>
    <row r="416" spans="1:29" ht="25.5" hidden="1" customHeight="1" x14ac:dyDescent="0.2">
      <c r="A416" s="38" t="s">
        <v>295</v>
      </c>
      <c r="B416" s="184">
        <v>804</v>
      </c>
      <c r="C416" s="169" t="s">
        <v>293</v>
      </c>
      <c r="D416" s="169" t="s">
        <v>296</v>
      </c>
      <c r="E416" s="185" t="s">
        <v>46</v>
      </c>
      <c r="F416" s="169" t="s">
        <v>58</v>
      </c>
      <c r="G416" s="169" t="s">
        <v>64</v>
      </c>
      <c r="H416" s="163">
        <f>SUM(H422:H423)</f>
        <v>39621805.059999995</v>
      </c>
      <c r="I416" s="163" t="e">
        <f t="shared" ref="I416:N417" si="220">SUM(I422:I423)</f>
        <v>#REF!</v>
      </c>
      <c r="J416" s="163" t="e">
        <f t="shared" si="220"/>
        <v>#REF!</v>
      </c>
      <c r="K416" s="163" t="e">
        <f t="shared" si="220"/>
        <v>#REF!</v>
      </c>
      <c r="L416" s="163" t="e">
        <f t="shared" si="220"/>
        <v>#REF!</v>
      </c>
      <c r="M416" s="163" t="e">
        <f t="shared" si="220"/>
        <v>#REF!</v>
      </c>
      <c r="N416" s="163" t="e">
        <f t="shared" si="220"/>
        <v>#REF!</v>
      </c>
      <c r="O416" s="163">
        <f>SUM(O422:O423)</f>
        <v>39018926.883999996</v>
      </c>
      <c r="P416" s="262">
        <v>0</v>
      </c>
      <c r="Q416" s="165">
        <f t="shared" ref="Q416:Q421" si="221">R416+S416+T416+U416</f>
        <v>0</v>
      </c>
      <c r="R416" s="163"/>
      <c r="S416" s="163"/>
      <c r="T416" s="163">
        <v>0</v>
      </c>
      <c r="U416" s="163">
        <v>0</v>
      </c>
      <c r="V416" s="163"/>
      <c r="W416" s="163"/>
      <c r="X416" s="165">
        <f>P416+Q416</f>
        <v>0</v>
      </c>
      <c r="Y416" s="301"/>
      <c r="Z416" s="288"/>
      <c r="AA416" s="316"/>
      <c r="AB416" s="332"/>
      <c r="AC416" s="316"/>
    </row>
    <row r="417" spans="1:29" ht="25.5" hidden="1" customHeight="1" x14ac:dyDescent="0.2">
      <c r="A417" s="38" t="s">
        <v>297</v>
      </c>
      <c r="B417" s="184">
        <v>804</v>
      </c>
      <c r="C417" s="169" t="s">
        <v>293</v>
      </c>
      <c r="D417" s="169" t="s">
        <v>296</v>
      </c>
      <c r="E417" s="185"/>
      <c r="F417" s="169" t="s">
        <v>77</v>
      </c>
      <c r="G417" s="169" t="s">
        <v>81</v>
      </c>
      <c r="H417" s="163">
        <f>SUM(H423:H424)</f>
        <v>39121805.059999995</v>
      </c>
      <c r="I417" s="163" t="e">
        <f t="shared" si="220"/>
        <v>#REF!</v>
      </c>
      <c r="J417" s="163" t="e">
        <f t="shared" si="220"/>
        <v>#REF!</v>
      </c>
      <c r="K417" s="163" t="e">
        <f t="shared" si="220"/>
        <v>#REF!</v>
      </c>
      <c r="L417" s="163" t="e">
        <f t="shared" si="220"/>
        <v>#REF!</v>
      </c>
      <c r="M417" s="163" t="e">
        <f t="shared" si="220"/>
        <v>#REF!</v>
      </c>
      <c r="N417" s="163" t="e">
        <f t="shared" si="220"/>
        <v>#REF!</v>
      </c>
      <c r="O417" s="163">
        <f>SUM(O423:O424)</f>
        <v>38618926.883999996</v>
      </c>
      <c r="P417" s="262">
        <v>0</v>
      </c>
      <c r="Q417" s="165">
        <f t="shared" si="221"/>
        <v>0</v>
      </c>
      <c r="R417" s="163"/>
      <c r="S417" s="163"/>
      <c r="T417" s="163">
        <v>0</v>
      </c>
      <c r="U417" s="163"/>
      <c r="V417" s="163"/>
      <c r="W417" s="163"/>
      <c r="X417" s="165">
        <f>P417+Q417</f>
        <v>0</v>
      </c>
      <c r="Y417" s="301"/>
      <c r="Z417" s="288"/>
      <c r="AA417" s="316"/>
      <c r="AB417" s="332"/>
      <c r="AC417" s="316"/>
    </row>
    <row r="418" spans="1:29" ht="25.5" hidden="1" customHeight="1" x14ac:dyDescent="0.2">
      <c r="A418" s="38" t="s">
        <v>294</v>
      </c>
      <c r="B418" s="184"/>
      <c r="C418" s="169"/>
      <c r="D418" s="169"/>
      <c r="E418" s="185"/>
      <c r="F418" s="169" t="s">
        <v>556</v>
      </c>
      <c r="G418" s="169" t="s">
        <v>165</v>
      </c>
      <c r="H418" s="163"/>
      <c r="I418" s="163"/>
      <c r="J418" s="163"/>
      <c r="K418" s="163"/>
      <c r="L418" s="163"/>
      <c r="M418" s="163"/>
      <c r="N418" s="294"/>
      <c r="O418" s="163"/>
      <c r="P418" s="262">
        <v>0</v>
      </c>
      <c r="Q418" s="165">
        <f>R418+S418+T418+U418+V418</f>
        <v>0</v>
      </c>
      <c r="R418" s="163">
        <v>0</v>
      </c>
      <c r="S418" s="163"/>
      <c r="T418" s="163"/>
      <c r="U418" s="163"/>
      <c r="V418" s="163"/>
      <c r="W418" s="163"/>
      <c r="X418" s="165">
        <f>P418+Q418</f>
        <v>0</v>
      </c>
      <c r="Y418" s="301"/>
      <c r="Z418" s="288"/>
      <c r="AA418" s="316"/>
      <c r="AB418" s="332"/>
      <c r="AC418" s="316"/>
    </row>
    <row r="419" spans="1:29" ht="25.5" customHeight="1" x14ac:dyDescent="0.2">
      <c r="A419" s="494" t="s">
        <v>428</v>
      </c>
      <c r="B419" s="495"/>
      <c r="C419" s="496" t="s">
        <v>299</v>
      </c>
      <c r="D419" s="496" t="s">
        <v>427</v>
      </c>
      <c r="E419" s="497" t="s">
        <v>46</v>
      </c>
      <c r="F419" s="496"/>
      <c r="G419" s="496"/>
      <c r="H419" s="436"/>
      <c r="I419" s="436"/>
      <c r="J419" s="436"/>
      <c r="K419" s="436"/>
      <c r="L419" s="436"/>
      <c r="M419" s="436"/>
      <c r="N419" s="498"/>
      <c r="O419" s="436"/>
      <c r="P419" s="499">
        <f>P420+P421</f>
        <v>0</v>
      </c>
      <c r="Q419" s="499">
        <f t="shared" si="221"/>
        <v>17400</v>
      </c>
      <c r="R419" s="499">
        <f t="shared" ref="R419" si="222">R420+R421</f>
        <v>0</v>
      </c>
      <c r="S419" s="499">
        <f t="shared" ref="S419:X419" si="223">S420+S421</f>
        <v>0</v>
      </c>
      <c r="T419" s="499">
        <f t="shared" si="223"/>
        <v>0</v>
      </c>
      <c r="U419" s="499">
        <f>U420+U421</f>
        <v>17400</v>
      </c>
      <c r="V419" s="499">
        <f t="shared" si="223"/>
        <v>0</v>
      </c>
      <c r="W419" s="499"/>
      <c r="X419" s="499">
        <f t="shared" si="223"/>
        <v>17400</v>
      </c>
      <c r="Y419" s="379"/>
      <c r="Z419" s="288"/>
      <c r="AA419" s="316"/>
      <c r="AB419" s="395"/>
      <c r="AC419" s="316"/>
    </row>
    <row r="420" spans="1:29" ht="25.5" customHeight="1" x14ac:dyDescent="0.2">
      <c r="A420" s="38" t="s">
        <v>321</v>
      </c>
      <c r="B420" s="184"/>
      <c r="C420" s="169"/>
      <c r="D420" s="169"/>
      <c r="E420" s="185"/>
      <c r="F420" s="169" t="s">
        <v>556</v>
      </c>
      <c r="G420" s="169" t="s">
        <v>165</v>
      </c>
      <c r="H420" s="163"/>
      <c r="I420" s="163"/>
      <c r="J420" s="163"/>
      <c r="K420" s="163"/>
      <c r="L420" s="163"/>
      <c r="M420" s="163"/>
      <c r="N420" s="294"/>
      <c r="O420" s="163"/>
      <c r="P420" s="262">
        <v>0</v>
      </c>
      <c r="Q420" s="165">
        <f>R420+S420+T420+U420+V420</f>
        <v>14790</v>
      </c>
      <c r="R420" s="163">
        <v>0</v>
      </c>
      <c r="S420" s="163">
        <v>0</v>
      </c>
      <c r="T420" s="163"/>
      <c r="U420" s="163">
        <f>5000+4400+5000+390</f>
        <v>14790</v>
      </c>
      <c r="V420" s="163"/>
      <c r="W420" s="163"/>
      <c r="X420" s="165">
        <f>P420+Q420</f>
        <v>14790</v>
      </c>
      <c r="Y420" s="301"/>
      <c r="Z420" s="288"/>
      <c r="AA420" s="316"/>
      <c r="AB420" s="332"/>
      <c r="AC420" s="316"/>
    </row>
    <row r="421" spans="1:29" ht="25.5" customHeight="1" x14ac:dyDescent="0.2">
      <c r="A421" s="40" t="s">
        <v>80</v>
      </c>
      <c r="B421" s="184"/>
      <c r="C421" s="169"/>
      <c r="D421" s="169"/>
      <c r="E421" s="185"/>
      <c r="F421" s="169" t="s">
        <v>554</v>
      </c>
      <c r="G421" s="169" t="s">
        <v>81</v>
      </c>
      <c r="H421" s="163"/>
      <c r="I421" s="163"/>
      <c r="J421" s="163"/>
      <c r="K421" s="163"/>
      <c r="L421" s="163"/>
      <c r="M421" s="163"/>
      <c r="N421" s="294"/>
      <c r="O421" s="163"/>
      <c r="P421" s="262">
        <v>0</v>
      </c>
      <c r="Q421" s="165">
        <f t="shared" si="221"/>
        <v>2610</v>
      </c>
      <c r="R421" s="163">
        <v>0</v>
      </c>
      <c r="S421" s="163"/>
      <c r="T421" s="163"/>
      <c r="U421" s="163">
        <v>2610</v>
      </c>
      <c r="V421" s="163"/>
      <c r="W421" s="163"/>
      <c r="X421" s="165">
        <f>P421+Q421</f>
        <v>2610</v>
      </c>
      <c r="Y421" s="301"/>
      <c r="Z421" s="288"/>
      <c r="AA421" s="316"/>
      <c r="AB421" s="332"/>
      <c r="AC421" s="316"/>
    </row>
    <row r="422" spans="1:29" ht="25.5" x14ac:dyDescent="0.2">
      <c r="A422" s="494" t="s">
        <v>298</v>
      </c>
      <c r="B422" s="500"/>
      <c r="C422" s="13" t="s">
        <v>299</v>
      </c>
      <c r="D422" s="13" t="s">
        <v>18</v>
      </c>
      <c r="E422" s="14" t="s">
        <v>19</v>
      </c>
      <c r="F422" s="501"/>
      <c r="G422" s="501"/>
      <c r="H422" s="15">
        <f t="shared" ref="H422:V422" si="224">H423+H519</f>
        <v>20060902.529999997</v>
      </c>
      <c r="I422" s="15" t="e">
        <f t="shared" si="224"/>
        <v>#REF!</v>
      </c>
      <c r="J422" s="15" t="e">
        <f t="shared" si="224"/>
        <v>#REF!</v>
      </c>
      <c r="K422" s="107" t="e">
        <f t="shared" si="224"/>
        <v>#REF!</v>
      </c>
      <c r="L422" s="107" t="e">
        <f t="shared" si="224"/>
        <v>#REF!</v>
      </c>
      <c r="M422" s="107" t="e">
        <f t="shared" si="224"/>
        <v>#REF!</v>
      </c>
      <c r="N422" s="108" t="e">
        <f t="shared" si="224"/>
        <v>#REF!</v>
      </c>
      <c r="O422" s="15">
        <f t="shared" si="224"/>
        <v>19709463.441999998</v>
      </c>
      <c r="P422" s="256">
        <f t="shared" si="224"/>
        <v>32898486.249999996</v>
      </c>
      <c r="Q422" s="256">
        <f t="shared" si="224"/>
        <v>105965.6700000001</v>
      </c>
      <c r="R422" s="256">
        <f t="shared" si="224"/>
        <v>-951772.13</v>
      </c>
      <c r="S422" s="256">
        <f t="shared" si="224"/>
        <v>0</v>
      </c>
      <c r="T422" s="256">
        <f t="shared" si="224"/>
        <v>0</v>
      </c>
      <c r="U422" s="256">
        <f t="shared" si="224"/>
        <v>1057737.8000000003</v>
      </c>
      <c r="V422" s="256">
        <f t="shared" si="224"/>
        <v>0</v>
      </c>
      <c r="W422" s="256"/>
      <c r="X422" s="256">
        <f>X423+X519</f>
        <v>33004451.920000006</v>
      </c>
      <c r="Y422" s="379"/>
      <c r="Z422" s="288"/>
      <c r="AA422" s="316"/>
      <c r="AB422" s="385"/>
      <c r="AC422" s="316"/>
    </row>
    <row r="423" spans="1:29" ht="51" x14ac:dyDescent="0.2">
      <c r="A423" s="16" t="s">
        <v>300</v>
      </c>
      <c r="B423" s="17"/>
      <c r="C423" s="18" t="s">
        <v>301</v>
      </c>
      <c r="D423" s="18" t="s">
        <v>18</v>
      </c>
      <c r="E423" s="19" t="s">
        <v>19</v>
      </c>
      <c r="F423" s="168"/>
      <c r="G423" s="168"/>
      <c r="H423" s="20">
        <f t="shared" ref="H423:X424" si="225">H424</f>
        <v>19560902.529999997</v>
      </c>
      <c r="I423" s="20" t="e">
        <f t="shared" si="225"/>
        <v>#REF!</v>
      </c>
      <c r="J423" s="20" t="e">
        <f t="shared" si="225"/>
        <v>#REF!</v>
      </c>
      <c r="K423" s="21" t="e">
        <f t="shared" si="225"/>
        <v>#REF!</v>
      </c>
      <c r="L423" s="21" t="e">
        <f t="shared" si="225"/>
        <v>#REF!</v>
      </c>
      <c r="M423" s="21" t="e">
        <f t="shared" si="225"/>
        <v>#REF!</v>
      </c>
      <c r="N423" s="22" t="e">
        <f t="shared" si="225"/>
        <v>#REF!</v>
      </c>
      <c r="O423" s="20">
        <f t="shared" si="225"/>
        <v>19309463.441999998</v>
      </c>
      <c r="P423" s="257">
        <f t="shared" si="225"/>
        <v>32820068.139999997</v>
      </c>
      <c r="Q423" s="257">
        <f>Q424</f>
        <v>90920.6700000001</v>
      </c>
      <c r="R423" s="257">
        <f>R424</f>
        <v>-951772.13</v>
      </c>
      <c r="S423" s="257">
        <f t="shared" si="225"/>
        <v>0</v>
      </c>
      <c r="T423" s="257">
        <f t="shared" si="225"/>
        <v>0</v>
      </c>
      <c r="U423" s="257">
        <f t="shared" si="225"/>
        <v>1042692.8000000002</v>
      </c>
      <c r="V423" s="257">
        <f t="shared" si="225"/>
        <v>0</v>
      </c>
      <c r="W423" s="257"/>
      <c r="X423" s="257">
        <f t="shared" si="225"/>
        <v>32910988.810000006</v>
      </c>
      <c r="Y423" s="382"/>
      <c r="Z423" s="288"/>
      <c r="AA423" s="316"/>
      <c r="AB423" s="385"/>
      <c r="AC423" s="316"/>
    </row>
    <row r="424" spans="1:29" ht="25.5" hidden="1" x14ac:dyDescent="0.2">
      <c r="A424" s="109" t="s">
        <v>302</v>
      </c>
      <c r="B424" s="79"/>
      <c r="C424" s="25" t="s">
        <v>301</v>
      </c>
      <c r="D424" s="134" t="s">
        <v>18</v>
      </c>
      <c r="E424" s="26" t="s">
        <v>19</v>
      </c>
      <c r="F424" s="8"/>
      <c r="G424" s="8"/>
      <c r="H424" s="27">
        <f t="shared" si="225"/>
        <v>19560902.529999997</v>
      </c>
      <c r="I424" s="27" t="e">
        <f t="shared" si="225"/>
        <v>#REF!</v>
      </c>
      <c r="J424" s="27" t="e">
        <f t="shared" si="225"/>
        <v>#REF!</v>
      </c>
      <c r="K424" s="28" t="e">
        <f t="shared" si="225"/>
        <v>#REF!</v>
      </c>
      <c r="L424" s="28" t="e">
        <f t="shared" si="225"/>
        <v>#REF!</v>
      </c>
      <c r="M424" s="28" t="e">
        <f t="shared" si="225"/>
        <v>#REF!</v>
      </c>
      <c r="N424" s="29" t="e">
        <f t="shared" si="225"/>
        <v>#REF!</v>
      </c>
      <c r="O424" s="27">
        <f t="shared" si="225"/>
        <v>19309463.441999998</v>
      </c>
      <c r="P424" s="258">
        <f t="shared" si="225"/>
        <v>32820068.139999997</v>
      </c>
      <c r="Q424" s="258">
        <f t="shared" si="225"/>
        <v>90920.6700000001</v>
      </c>
      <c r="R424" s="258">
        <f>R425</f>
        <v>-951772.13</v>
      </c>
      <c r="S424" s="258">
        <f t="shared" si="225"/>
        <v>0</v>
      </c>
      <c r="T424" s="258">
        <f t="shared" si="225"/>
        <v>0</v>
      </c>
      <c r="U424" s="258">
        <f t="shared" si="225"/>
        <v>1042692.8000000002</v>
      </c>
      <c r="V424" s="258">
        <f t="shared" si="225"/>
        <v>0</v>
      </c>
      <c r="W424" s="258"/>
      <c r="X424" s="258">
        <f t="shared" si="225"/>
        <v>32910988.810000006</v>
      </c>
      <c r="Y424" s="301"/>
      <c r="Z424" s="288"/>
      <c r="AA424" s="316"/>
      <c r="AB424" s="385"/>
      <c r="AC424" s="316"/>
    </row>
    <row r="425" spans="1:29" ht="25.5" x14ac:dyDescent="0.2">
      <c r="A425" s="109" t="s">
        <v>303</v>
      </c>
      <c r="B425" s="161" t="s">
        <v>130</v>
      </c>
      <c r="C425" s="25" t="s">
        <v>301</v>
      </c>
      <c r="D425" s="134" t="s">
        <v>18</v>
      </c>
      <c r="E425" s="26" t="s">
        <v>19</v>
      </c>
      <c r="F425" s="25"/>
      <c r="G425" s="25"/>
      <c r="H425" s="27">
        <f t="shared" ref="H425:V425" si="226">H426+H445+H486+H495</f>
        <v>19560902.529999997</v>
      </c>
      <c r="I425" s="27" t="e">
        <f t="shared" si="226"/>
        <v>#REF!</v>
      </c>
      <c r="J425" s="27" t="e">
        <f t="shared" si="226"/>
        <v>#REF!</v>
      </c>
      <c r="K425" s="28" t="e">
        <f t="shared" si="226"/>
        <v>#REF!</v>
      </c>
      <c r="L425" s="28" t="e">
        <f t="shared" si="226"/>
        <v>#REF!</v>
      </c>
      <c r="M425" s="28" t="e">
        <f t="shared" si="226"/>
        <v>#REF!</v>
      </c>
      <c r="N425" s="29" t="e">
        <f t="shared" si="226"/>
        <v>#REF!</v>
      </c>
      <c r="O425" s="27">
        <f t="shared" si="226"/>
        <v>19309463.441999998</v>
      </c>
      <c r="P425" s="258">
        <f t="shared" si="226"/>
        <v>32820068.139999997</v>
      </c>
      <c r="Q425" s="258">
        <f t="shared" si="226"/>
        <v>90920.6700000001</v>
      </c>
      <c r="R425" s="258">
        <f t="shared" si="226"/>
        <v>-951772.13</v>
      </c>
      <c r="S425" s="258">
        <f t="shared" si="226"/>
        <v>0</v>
      </c>
      <c r="T425" s="258">
        <f t="shared" si="226"/>
        <v>0</v>
      </c>
      <c r="U425" s="258">
        <f t="shared" si="226"/>
        <v>1042692.8000000002</v>
      </c>
      <c r="V425" s="258">
        <f t="shared" si="226"/>
        <v>0</v>
      </c>
      <c r="W425" s="258"/>
      <c r="X425" s="258">
        <f>X426+X445+X486+X495</f>
        <v>32910988.810000006</v>
      </c>
      <c r="Y425" s="369"/>
      <c r="Z425" s="288"/>
      <c r="AA425" s="316"/>
      <c r="AB425" s="385"/>
      <c r="AC425" s="316"/>
    </row>
    <row r="426" spans="1:29" ht="22.5" customHeight="1" x14ac:dyDescent="0.2">
      <c r="A426" s="23" t="s">
        <v>24</v>
      </c>
      <c r="B426" s="161" t="s">
        <v>130</v>
      </c>
      <c r="C426" s="25" t="s">
        <v>301</v>
      </c>
      <c r="D426" s="25" t="s">
        <v>18</v>
      </c>
      <c r="E426" s="26" t="s">
        <v>19</v>
      </c>
      <c r="F426" s="25" t="s">
        <v>25</v>
      </c>
      <c r="G426" s="25"/>
      <c r="H426" s="27">
        <f>H427+H434+H439</f>
        <v>14563547.32</v>
      </c>
      <c r="I426" s="27" t="e">
        <f>I427+#REF!+I434+I439+#REF!</f>
        <v>#REF!</v>
      </c>
      <c r="J426" s="27" t="e">
        <f>J427+#REF!+J434+J439+#REF!</f>
        <v>#REF!</v>
      </c>
      <c r="K426" s="27" t="e">
        <f>K427+#REF!+K434+K439+#REF!</f>
        <v>#REF!</v>
      </c>
      <c r="L426" s="27" t="e">
        <f>L427+#REF!+L434+L439+#REF!</f>
        <v>#REF!</v>
      </c>
      <c r="M426" s="27" t="e">
        <f>M427+#REF!+M434+M439+#REF!</f>
        <v>#REF!</v>
      </c>
      <c r="N426" s="27" t="e">
        <f>N427+#REF!+N434+N439+#REF!</f>
        <v>#REF!</v>
      </c>
      <c r="O426" s="27">
        <f>O427+O434+O439</f>
        <v>14562867.32</v>
      </c>
      <c r="P426" s="258">
        <f>P427+P434+P439+P428+P440+P429+P430+P431+P432+P441+P442+P443+P444+P433</f>
        <v>24625975.969999999</v>
      </c>
      <c r="Q426" s="258">
        <f>Q427+Q434+Q439+Q428+Q440+Q429+Q430+Q431+Q432+Q441+Q442+Q443+Q444+Q433</f>
        <v>-57670</v>
      </c>
      <c r="R426" s="258">
        <f t="shared" ref="R426:X426" si="227">R427+R434+R439+R428+R440+R429+R430+R431+R432+R441+R442+R443+R444+R433</f>
        <v>-59200</v>
      </c>
      <c r="S426" s="258">
        <f t="shared" si="227"/>
        <v>0</v>
      </c>
      <c r="T426" s="258">
        <f t="shared" si="227"/>
        <v>0</v>
      </c>
      <c r="U426" s="258">
        <f t="shared" si="227"/>
        <v>1530</v>
      </c>
      <c r="V426" s="258">
        <f t="shared" si="227"/>
        <v>0</v>
      </c>
      <c r="W426" s="258">
        <f t="shared" si="227"/>
        <v>0</v>
      </c>
      <c r="X426" s="258">
        <f t="shared" si="227"/>
        <v>24568305.970000003</v>
      </c>
      <c r="Y426" s="258"/>
      <c r="Z426" s="288"/>
      <c r="AA426" s="316"/>
      <c r="AB426" s="385"/>
      <c r="AC426" s="316"/>
    </row>
    <row r="427" spans="1:29" x14ac:dyDescent="0.2">
      <c r="A427" s="6" t="s">
        <v>26</v>
      </c>
      <c r="B427" s="138" t="s">
        <v>130</v>
      </c>
      <c r="C427" s="8" t="s">
        <v>301</v>
      </c>
      <c r="D427" s="30" t="s">
        <v>458</v>
      </c>
      <c r="E427" s="9" t="s">
        <v>281</v>
      </c>
      <c r="F427" s="8" t="s">
        <v>27</v>
      </c>
      <c r="G427" s="8"/>
      <c r="H427" s="31">
        <v>10540183.35</v>
      </c>
      <c r="I427" s="31">
        <f>SUM(J427:M427)</f>
        <v>54806.61</v>
      </c>
      <c r="J427" s="31">
        <v>54806.61</v>
      </c>
      <c r="K427" s="32"/>
      <c r="L427" s="32"/>
      <c r="M427" s="32"/>
      <c r="N427" s="33">
        <f>H427+I427</f>
        <v>10594989.959999999</v>
      </c>
      <c r="O427" s="31">
        <v>10540183.35</v>
      </c>
      <c r="P427" s="260">
        <v>18129013.800000001</v>
      </c>
      <c r="Q427" s="165">
        <f>R427+S427+T427+U427+V427</f>
        <v>-21002.26</v>
      </c>
      <c r="R427" s="165">
        <v>-21002.26</v>
      </c>
      <c r="S427" s="165">
        <v>0</v>
      </c>
      <c r="T427" s="165"/>
      <c r="U427" s="165"/>
      <c r="V427" s="165"/>
      <c r="W427" s="165"/>
      <c r="X427" s="165">
        <f>P427+Q427</f>
        <v>18108011.539999999</v>
      </c>
      <c r="Y427" s="54"/>
      <c r="Z427" s="288"/>
      <c r="AA427" s="316"/>
      <c r="AB427" s="329"/>
      <c r="AC427" s="316"/>
    </row>
    <row r="428" spans="1:29" hidden="1" x14ac:dyDescent="0.2">
      <c r="A428" s="6" t="s">
        <v>439</v>
      </c>
      <c r="B428" s="138" t="s">
        <v>130</v>
      </c>
      <c r="C428" s="8" t="s">
        <v>301</v>
      </c>
      <c r="D428" s="30" t="s">
        <v>440</v>
      </c>
      <c r="E428" s="9" t="s">
        <v>281</v>
      </c>
      <c r="F428" s="8" t="s">
        <v>27</v>
      </c>
      <c r="G428" s="8"/>
      <c r="H428" s="31"/>
      <c r="I428" s="31"/>
      <c r="J428" s="31"/>
      <c r="K428" s="32"/>
      <c r="L428" s="32"/>
      <c r="M428" s="32"/>
      <c r="N428" s="303"/>
      <c r="O428" s="31"/>
      <c r="P428" s="260">
        <v>0</v>
      </c>
      <c r="Q428" s="165">
        <f t="shared" ref="Q428:Q433" si="228">R428+S428+T428+U428+V428</f>
        <v>0</v>
      </c>
      <c r="R428" s="165"/>
      <c r="S428" s="165">
        <v>0</v>
      </c>
      <c r="T428" s="165"/>
      <c r="U428" s="165"/>
      <c r="V428" s="165"/>
      <c r="W428" s="165"/>
      <c r="X428" s="165">
        <f t="shared" ref="X428:X433" si="229">P428+Q428</f>
        <v>0</v>
      </c>
      <c r="Y428" s="301"/>
      <c r="Z428" s="288"/>
      <c r="AA428" s="316"/>
      <c r="AB428" s="329"/>
      <c r="AC428" s="316"/>
    </row>
    <row r="429" spans="1:29" ht="76.5" hidden="1" x14ac:dyDescent="0.2">
      <c r="A429" s="6" t="s">
        <v>525</v>
      </c>
      <c r="B429" s="138"/>
      <c r="C429" s="8"/>
      <c r="D429" s="30" t="s">
        <v>526</v>
      </c>
      <c r="E429" s="9" t="s">
        <v>281</v>
      </c>
      <c r="F429" s="8" t="s">
        <v>27</v>
      </c>
      <c r="G429" s="8"/>
      <c r="H429" s="31"/>
      <c r="I429" s="31"/>
      <c r="J429" s="31"/>
      <c r="K429" s="32"/>
      <c r="L429" s="32"/>
      <c r="M429" s="32"/>
      <c r="N429" s="303"/>
      <c r="O429" s="31"/>
      <c r="P429" s="260">
        <v>0</v>
      </c>
      <c r="Q429" s="165">
        <f t="shared" si="228"/>
        <v>0</v>
      </c>
      <c r="R429" s="165"/>
      <c r="S429" s="165"/>
      <c r="T429" s="165"/>
      <c r="U429" s="165"/>
      <c r="V429" s="165">
        <v>0</v>
      </c>
      <c r="W429" s="165"/>
      <c r="X429" s="165">
        <f t="shared" si="229"/>
        <v>0</v>
      </c>
      <c r="Y429" s="301"/>
      <c r="Z429" s="288"/>
      <c r="AA429" s="316"/>
      <c r="AB429" s="329"/>
      <c r="AC429" s="316"/>
    </row>
    <row r="430" spans="1:29" ht="76.5" hidden="1" x14ac:dyDescent="0.2">
      <c r="A430" s="337" t="s">
        <v>527</v>
      </c>
      <c r="B430" s="138"/>
      <c r="C430" s="8"/>
      <c r="D430" s="30" t="s">
        <v>528</v>
      </c>
      <c r="E430" s="9" t="s">
        <v>281</v>
      </c>
      <c r="F430" s="8" t="s">
        <v>27</v>
      </c>
      <c r="G430" s="8"/>
      <c r="H430" s="31"/>
      <c r="I430" s="31"/>
      <c r="J430" s="31"/>
      <c r="K430" s="32"/>
      <c r="L430" s="32"/>
      <c r="M430" s="32"/>
      <c r="N430" s="303"/>
      <c r="O430" s="31"/>
      <c r="P430" s="260">
        <v>0</v>
      </c>
      <c r="Q430" s="165">
        <f t="shared" si="228"/>
        <v>0</v>
      </c>
      <c r="R430" s="165"/>
      <c r="S430" s="165"/>
      <c r="T430" s="165"/>
      <c r="U430" s="165"/>
      <c r="V430" s="165">
        <v>0</v>
      </c>
      <c r="W430" s="165"/>
      <c r="X430" s="165">
        <f t="shared" si="229"/>
        <v>0</v>
      </c>
      <c r="Y430" s="301"/>
      <c r="Z430" s="288"/>
      <c r="AA430" s="316"/>
      <c r="AB430" s="329"/>
      <c r="AC430" s="316"/>
    </row>
    <row r="431" spans="1:29" ht="76.5" hidden="1" x14ac:dyDescent="0.2">
      <c r="A431" s="6" t="s">
        <v>525</v>
      </c>
      <c r="B431" s="138"/>
      <c r="C431" s="8"/>
      <c r="D431" s="30" t="s">
        <v>529</v>
      </c>
      <c r="E431" s="9" t="s">
        <v>281</v>
      </c>
      <c r="F431" s="8" t="s">
        <v>27</v>
      </c>
      <c r="G431" s="8"/>
      <c r="H431" s="31"/>
      <c r="I431" s="31"/>
      <c r="J431" s="31"/>
      <c r="K431" s="32"/>
      <c r="L431" s="32"/>
      <c r="M431" s="32"/>
      <c r="N431" s="303"/>
      <c r="O431" s="31"/>
      <c r="P431" s="260">
        <v>0</v>
      </c>
      <c r="Q431" s="165">
        <f t="shared" si="228"/>
        <v>0</v>
      </c>
      <c r="R431" s="165">
        <v>0</v>
      </c>
      <c r="S431" s="165"/>
      <c r="T431" s="165"/>
      <c r="U431" s="165"/>
      <c r="V431" s="165"/>
      <c r="W431" s="165"/>
      <c r="X431" s="165">
        <f t="shared" si="229"/>
        <v>0</v>
      </c>
      <c r="Y431" s="301"/>
      <c r="Z431" s="288"/>
      <c r="AA431" s="316"/>
      <c r="AB431" s="329"/>
      <c r="AC431" s="316"/>
    </row>
    <row r="432" spans="1:29" ht="76.5" hidden="1" x14ac:dyDescent="0.2">
      <c r="A432" s="6" t="s">
        <v>525</v>
      </c>
      <c r="B432" s="138"/>
      <c r="C432" s="8"/>
      <c r="D432" s="30" t="s">
        <v>530</v>
      </c>
      <c r="E432" s="9" t="s">
        <v>281</v>
      </c>
      <c r="F432" s="8" t="s">
        <v>27</v>
      </c>
      <c r="G432" s="8"/>
      <c r="H432" s="31"/>
      <c r="I432" s="31"/>
      <c r="J432" s="31"/>
      <c r="K432" s="32"/>
      <c r="L432" s="32"/>
      <c r="M432" s="32"/>
      <c r="N432" s="303"/>
      <c r="O432" s="31"/>
      <c r="P432" s="260">
        <v>0</v>
      </c>
      <c r="Q432" s="165">
        <f t="shared" si="228"/>
        <v>0</v>
      </c>
      <c r="R432" s="165">
        <v>0</v>
      </c>
      <c r="S432" s="165"/>
      <c r="T432" s="165"/>
      <c r="U432" s="165"/>
      <c r="V432" s="165"/>
      <c r="W432" s="165"/>
      <c r="X432" s="165">
        <f t="shared" si="229"/>
        <v>0</v>
      </c>
      <c r="Y432" s="301"/>
      <c r="Z432" s="288"/>
      <c r="AA432" s="316"/>
      <c r="AB432" s="329"/>
      <c r="AC432" s="316"/>
    </row>
    <row r="433" spans="1:29" x14ac:dyDescent="0.2">
      <c r="A433" s="6" t="s">
        <v>629</v>
      </c>
      <c r="B433" s="138" t="s">
        <v>130</v>
      </c>
      <c r="C433" s="8" t="s">
        <v>301</v>
      </c>
      <c r="D433" s="30" t="s">
        <v>458</v>
      </c>
      <c r="E433" s="9" t="s">
        <v>281</v>
      </c>
      <c r="F433" s="8" t="s">
        <v>630</v>
      </c>
      <c r="G433" s="8"/>
      <c r="H433" s="31"/>
      <c r="I433" s="31"/>
      <c r="J433" s="31"/>
      <c r="K433" s="32"/>
      <c r="L433" s="32"/>
      <c r="M433" s="32"/>
      <c r="N433" s="303"/>
      <c r="O433" s="31"/>
      <c r="P433" s="260">
        <v>0</v>
      </c>
      <c r="Q433" s="165">
        <f t="shared" si="228"/>
        <v>21002.26</v>
      </c>
      <c r="R433" s="165">
        <v>21002.26</v>
      </c>
      <c r="S433" s="165"/>
      <c r="T433" s="165"/>
      <c r="U433" s="165"/>
      <c r="V433" s="165"/>
      <c r="W433" s="165"/>
      <c r="X433" s="165">
        <f t="shared" si="229"/>
        <v>21002.26</v>
      </c>
      <c r="Y433" s="301"/>
      <c r="Z433" s="288"/>
      <c r="AA433" s="316"/>
      <c r="AB433" s="329"/>
      <c r="AC433" s="316"/>
    </row>
    <row r="434" spans="1:29" s="316" customFormat="1" ht="12.75" customHeight="1" x14ac:dyDescent="0.2">
      <c r="A434" s="53" t="s">
        <v>36</v>
      </c>
      <c r="B434" s="296" t="s">
        <v>130</v>
      </c>
      <c r="C434" s="297" t="s">
        <v>301</v>
      </c>
      <c r="D434" s="169" t="s">
        <v>458</v>
      </c>
      <c r="E434" s="298" t="s">
        <v>19</v>
      </c>
      <c r="F434" s="297" t="s">
        <v>19</v>
      </c>
      <c r="G434" s="297"/>
      <c r="H434" s="165">
        <f t="shared" ref="H434:N434" si="230">SUM(H435:H436)</f>
        <v>840228.6</v>
      </c>
      <c r="I434" s="165">
        <f t="shared" si="230"/>
        <v>-71358.210000000006</v>
      </c>
      <c r="J434" s="165">
        <f t="shared" si="230"/>
        <v>-71358.210000000006</v>
      </c>
      <c r="K434" s="165">
        <f t="shared" si="230"/>
        <v>0</v>
      </c>
      <c r="L434" s="165">
        <f t="shared" si="230"/>
        <v>0</v>
      </c>
      <c r="M434" s="165">
        <f t="shared" si="230"/>
        <v>0</v>
      </c>
      <c r="N434" s="475">
        <f t="shared" si="230"/>
        <v>768870.39</v>
      </c>
      <c r="O434" s="165">
        <f>SUM(O435:O436)</f>
        <v>839548.6</v>
      </c>
      <c r="P434" s="260">
        <f>SUM(P435:P438)</f>
        <v>1022000</v>
      </c>
      <c r="Q434" s="260">
        <f t="shared" ref="Q434:X434" si="231">SUM(Q435:Q438)</f>
        <v>-57670</v>
      </c>
      <c r="R434" s="260">
        <f t="shared" si="231"/>
        <v>-59200</v>
      </c>
      <c r="S434" s="260">
        <f t="shared" si="231"/>
        <v>0</v>
      </c>
      <c r="T434" s="260">
        <f>SUM(T435:T438)</f>
        <v>0</v>
      </c>
      <c r="U434" s="260">
        <f t="shared" ref="U434:V434" si="232">SUM(U435:U438)</f>
        <v>1530</v>
      </c>
      <c r="V434" s="260">
        <f t="shared" si="232"/>
        <v>0</v>
      </c>
      <c r="W434" s="260"/>
      <c r="X434" s="260">
        <f t="shared" si="231"/>
        <v>964330</v>
      </c>
      <c r="Y434" s="301"/>
      <c r="Z434" s="288"/>
      <c r="AB434" s="389"/>
    </row>
    <row r="435" spans="1:29" s="316" customFormat="1" ht="25.5" x14ac:dyDescent="0.2">
      <c r="A435" s="148" t="s">
        <v>305</v>
      </c>
      <c r="B435" s="336"/>
      <c r="C435" s="297"/>
      <c r="D435" s="169" t="s">
        <v>458</v>
      </c>
      <c r="E435" s="298" t="s">
        <v>282</v>
      </c>
      <c r="F435" s="297" t="s">
        <v>85</v>
      </c>
      <c r="G435" s="297" t="s">
        <v>38</v>
      </c>
      <c r="H435" s="165">
        <v>3400</v>
      </c>
      <c r="I435" s="165">
        <f>SUM(J435:M435)</f>
        <v>0</v>
      </c>
      <c r="J435" s="165"/>
      <c r="K435" s="301"/>
      <c r="L435" s="301"/>
      <c r="M435" s="301"/>
      <c r="N435" s="293">
        <f>H435+I435</f>
        <v>3400</v>
      </c>
      <c r="O435" s="165">
        <f>3400*80%</f>
        <v>2720</v>
      </c>
      <c r="P435" s="260">
        <v>0</v>
      </c>
      <c r="Q435" s="165">
        <f>R435+S435+T435+U435+V435</f>
        <v>1530</v>
      </c>
      <c r="R435" s="165"/>
      <c r="S435" s="165"/>
      <c r="T435" s="165"/>
      <c r="U435" s="165">
        <f>680+850</f>
        <v>1530</v>
      </c>
      <c r="V435" s="165"/>
      <c r="W435" s="165"/>
      <c r="X435" s="165">
        <f t="shared" ref="X435:X444" si="233">P435+Q435</f>
        <v>1530</v>
      </c>
      <c r="Y435" s="301"/>
      <c r="Z435" s="288"/>
      <c r="AB435" s="329"/>
    </row>
    <row r="436" spans="1:29" s="316" customFormat="1" ht="25.5" x14ac:dyDescent="0.2">
      <c r="A436" s="164" t="s">
        <v>283</v>
      </c>
      <c r="B436" s="344"/>
      <c r="C436" s="297"/>
      <c r="D436" s="169" t="s">
        <v>458</v>
      </c>
      <c r="E436" s="298" t="s">
        <v>282</v>
      </c>
      <c r="F436" s="297" t="s">
        <v>558</v>
      </c>
      <c r="G436" s="297" t="s">
        <v>40</v>
      </c>
      <c r="H436" s="165">
        <f>900000-63171.4</f>
        <v>836828.6</v>
      </c>
      <c r="I436" s="165">
        <f>SUM(J436:M436)</f>
        <v>-71358.210000000006</v>
      </c>
      <c r="J436" s="165">
        <v>-71358.210000000006</v>
      </c>
      <c r="K436" s="301"/>
      <c r="L436" s="301"/>
      <c r="M436" s="301"/>
      <c r="N436" s="293">
        <f>H436+I436</f>
        <v>765470.39</v>
      </c>
      <c r="O436" s="165">
        <f>900000-63171.4</f>
        <v>836828.6</v>
      </c>
      <c r="P436" s="260">
        <v>1022000</v>
      </c>
      <c r="Q436" s="165">
        <f>R436+S436+T436+U436+V436</f>
        <v>-59200</v>
      </c>
      <c r="R436" s="165">
        <f>-18700-40500</f>
        <v>-59200</v>
      </c>
      <c r="S436" s="165"/>
      <c r="T436" s="165"/>
      <c r="U436" s="165"/>
      <c r="V436" s="165"/>
      <c r="W436" s="165"/>
      <c r="X436" s="165">
        <f t="shared" si="233"/>
        <v>962800</v>
      </c>
      <c r="Y436" s="301"/>
      <c r="Z436" s="288"/>
      <c r="AB436" s="329"/>
    </row>
    <row r="437" spans="1:29" s="316" customFormat="1" hidden="1" x14ac:dyDescent="0.2">
      <c r="A437" s="164" t="s">
        <v>393</v>
      </c>
      <c r="B437" s="344"/>
      <c r="C437" s="297"/>
      <c r="D437" s="169" t="s">
        <v>458</v>
      </c>
      <c r="E437" s="298" t="s">
        <v>282</v>
      </c>
      <c r="F437" s="297"/>
      <c r="G437" s="297" t="s">
        <v>394</v>
      </c>
      <c r="H437" s="165"/>
      <c r="I437" s="165"/>
      <c r="J437" s="165"/>
      <c r="K437" s="301"/>
      <c r="L437" s="301"/>
      <c r="M437" s="301"/>
      <c r="N437" s="293"/>
      <c r="O437" s="165"/>
      <c r="P437" s="260">
        <v>0</v>
      </c>
      <c r="Q437" s="165">
        <f>R437+S437+T437+U437+V437</f>
        <v>0</v>
      </c>
      <c r="R437" s="165"/>
      <c r="S437" s="165"/>
      <c r="T437" s="165"/>
      <c r="U437" s="165"/>
      <c r="V437" s="165"/>
      <c r="W437" s="165"/>
      <c r="X437" s="165">
        <f t="shared" si="233"/>
        <v>0</v>
      </c>
      <c r="Y437" s="301"/>
      <c r="Z437" s="288"/>
      <c r="AB437" s="329"/>
    </row>
    <row r="438" spans="1:29" s="316" customFormat="1" ht="25.5" hidden="1" x14ac:dyDescent="0.2">
      <c r="A438" s="164" t="s">
        <v>509</v>
      </c>
      <c r="B438" s="344"/>
      <c r="C438" s="297"/>
      <c r="D438" s="169" t="s">
        <v>458</v>
      </c>
      <c r="E438" s="298" t="s">
        <v>282</v>
      </c>
      <c r="F438" s="297"/>
      <c r="G438" s="297" t="s">
        <v>394</v>
      </c>
      <c r="H438" s="165"/>
      <c r="I438" s="165"/>
      <c r="J438" s="165"/>
      <c r="K438" s="301"/>
      <c r="L438" s="301"/>
      <c r="M438" s="301"/>
      <c r="N438" s="293"/>
      <c r="O438" s="165"/>
      <c r="P438" s="260">
        <v>0</v>
      </c>
      <c r="Q438" s="165">
        <f>R438+S438+T438+U438+V438</f>
        <v>0</v>
      </c>
      <c r="R438" s="165"/>
      <c r="S438" s="165"/>
      <c r="T438" s="165"/>
      <c r="U438" s="165"/>
      <c r="V438" s="165"/>
      <c r="W438" s="165"/>
      <c r="X438" s="165">
        <f t="shared" si="233"/>
        <v>0</v>
      </c>
      <c r="Y438" s="301"/>
      <c r="Z438" s="288"/>
      <c r="AB438" s="329"/>
    </row>
    <row r="439" spans="1:29" s="316" customFormat="1" x14ac:dyDescent="0.2">
      <c r="A439" s="53" t="s">
        <v>28</v>
      </c>
      <c r="B439" s="296" t="s">
        <v>130</v>
      </c>
      <c r="C439" s="297" t="s">
        <v>301</v>
      </c>
      <c r="D439" s="169" t="s">
        <v>458</v>
      </c>
      <c r="E439" s="298" t="s">
        <v>284</v>
      </c>
      <c r="F439" s="297" t="s">
        <v>30</v>
      </c>
      <c r="G439" s="297"/>
      <c r="H439" s="165">
        <v>3183135.37</v>
      </c>
      <c r="I439" s="165">
        <f>SUM(J439:M439)</f>
        <v>16551.599999999999</v>
      </c>
      <c r="J439" s="165">
        <v>16551.599999999999</v>
      </c>
      <c r="K439" s="301"/>
      <c r="L439" s="301"/>
      <c r="M439" s="301"/>
      <c r="N439" s="293">
        <f>H439+I439</f>
        <v>3199686.97</v>
      </c>
      <c r="O439" s="165">
        <v>3183135.37</v>
      </c>
      <c r="P439" s="260">
        <v>5474962.1699999999</v>
      </c>
      <c r="Q439" s="165">
        <f>R439+S439+T439+U439+V439</f>
        <v>0</v>
      </c>
      <c r="R439" s="165">
        <v>0</v>
      </c>
      <c r="S439" s="165"/>
      <c r="T439" s="165"/>
      <c r="U439" s="165"/>
      <c r="V439" s="165"/>
      <c r="W439" s="165"/>
      <c r="X439" s="165">
        <f t="shared" si="233"/>
        <v>5474962.1699999999</v>
      </c>
      <c r="Y439" s="260"/>
      <c r="Z439" s="288"/>
      <c r="AB439" s="329"/>
    </row>
    <row r="440" spans="1:29" hidden="1" x14ac:dyDescent="0.2">
      <c r="A440" s="6" t="s">
        <v>441</v>
      </c>
      <c r="B440" s="138" t="s">
        <v>130</v>
      </c>
      <c r="C440" s="8" t="s">
        <v>301</v>
      </c>
      <c r="D440" s="30" t="s">
        <v>440</v>
      </c>
      <c r="E440" s="9" t="s">
        <v>284</v>
      </c>
      <c r="F440" s="8" t="s">
        <v>30</v>
      </c>
      <c r="G440" s="8"/>
      <c r="H440" s="31"/>
      <c r="I440" s="31"/>
      <c r="J440" s="31"/>
      <c r="K440" s="32"/>
      <c r="L440" s="32"/>
      <c r="M440" s="32"/>
      <c r="N440" s="55"/>
      <c r="O440" s="31"/>
      <c r="P440" s="260">
        <v>0</v>
      </c>
      <c r="Q440" s="165">
        <f t="shared" ref="Q440:Q444" si="234">R440+S440+T440+U440+V440</f>
        <v>0</v>
      </c>
      <c r="R440" s="165"/>
      <c r="S440" s="165">
        <v>0</v>
      </c>
      <c r="T440" s="165"/>
      <c r="U440" s="165"/>
      <c r="V440" s="165"/>
      <c r="W440" s="165"/>
      <c r="X440" s="165">
        <f t="shared" si="233"/>
        <v>0</v>
      </c>
      <c r="Y440" s="301"/>
      <c r="Z440" s="288"/>
      <c r="AA440" s="316"/>
      <c r="AB440" s="329"/>
      <c r="AC440" s="316"/>
    </row>
    <row r="441" spans="1:29" ht="89.25" hidden="1" x14ac:dyDescent="0.2">
      <c r="A441" s="6" t="s">
        <v>531</v>
      </c>
      <c r="B441" s="138"/>
      <c r="C441" s="8"/>
      <c r="D441" s="30" t="s">
        <v>526</v>
      </c>
      <c r="E441" s="9" t="s">
        <v>284</v>
      </c>
      <c r="F441" s="8" t="s">
        <v>30</v>
      </c>
      <c r="G441" s="8"/>
      <c r="H441" s="31"/>
      <c r="I441" s="31"/>
      <c r="J441" s="31"/>
      <c r="K441" s="32"/>
      <c r="L441" s="32"/>
      <c r="M441" s="32"/>
      <c r="N441" s="55"/>
      <c r="O441" s="31"/>
      <c r="P441" s="260">
        <v>0</v>
      </c>
      <c r="Q441" s="165">
        <f t="shared" si="234"/>
        <v>0</v>
      </c>
      <c r="R441" s="165"/>
      <c r="S441" s="165"/>
      <c r="T441" s="165"/>
      <c r="U441" s="165"/>
      <c r="V441" s="165">
        <v>0</v>
      </c>
      <c r="W441" s="165"/>
      <c r="X441" s="165">
        <f t="shared" si="233"/>
        <v>0</v>
      </c>
      <c r="Y441" s="301"/>
      <c r="Z441" s="288"/>
      <c r="AA441" s="316"/>
      <c r="AB441" s="329"/>
      <c r="AC441" s="316"/>
    </row>
    <row r="442" spans="1:29" ht="89.25" hidden="1" x14ac:dyDescent="0.2">
      <c r="A442" s="337" t="s">
        <v>532</v>
      </c>
      <c r="B442" s="138"/>
      <c r="C442" s="8"/>
      <c r="D442" s="30" t="s">
        <v>528</v>
      </c>
      <c r="E442" s="9" t="s">
        <v>284</v>
      </c>
      <c r="F442" s="8" t="s">
        <v>30</v>
      </c>
      <c r="G442" s="8"/>
      <c r="H442" s="31"/>
      <c r="I442" s="31"/>
      <c r="J442" s="31"/>
      <c r="K442" s="32"/>
      <c r="L442" s="32"/>
      <c r="M442" s="32"/>
      <c r="N442" s="55"/>
      <c r="O442" s="31"/>
      <c r="P442" s="260">
        <v>0</v>
      </c>
      <c r="Q442" s="165">
        <f t="shared" si="234"/>
        <v>0</v>
      </c>
      <c r="R442" s="165"/>
      <c r="S442" s="165"/>
      <c r="T442" s="165"/>
      <c r="U442" s="165"/>
      <c r="V442" s="165">
        <v>0</v>
      </c>
      <c r="W442" s="165"/>
      <c r="X442" s="165">
        <f t="shared" si="233"/>
        <v>0</v>
      </c>
      <c r="Y442" s="301"/>
      <c r="Z442" s="288"/>
      <c r="AA442" s="316"/>
      <c r="AB442" s="329"/>
      <c r="AC442" s="316"/>
    </row>
    <row r="443" spans="1:29" ht="89.25" hidden="1" x14ac:dyDescent="0.2">
      <c r="A443" s="6" t="s">
        <v>531</v>
      </c>
      <c r="B443" s="138"/>
      <c r="C443" s="8"/>
      <c r="D443" s="30" t="s">
        <v>529</v>
      </c>
      <c r="E443" s="9" t="s">
        <v>284</v>
      </c>
      <c r="F443" s="8" t="s">
        <v>30</v>
      </c>
      <c r="G443" s="8"/>
      <c r="H443" s="31"/>
      <c r="I443" s="31"/>
      <c r="J443" s="31"/>
      <c r="K443" s="32"/>
      <c r="L443" s="32"/>
      <c r="M443" s="32"/>
      <c r="N443" s="55"/>
      <c r="O443" s="31"/>
      <c r="P443" s="260">
        <v>0</v>
      </c>
      <c r="Q443" s="165">
        <f t="shared" si="234"/>
        <v>0</v>
      </c>
      <c r="R443" s="165"/>
      <c r="S443" s="165"/>
      <c r="T443" s="165"/>
      <c r="U443" s="165"/>
      <c r="V443" s="165"/>
      <c r="W443" s="165"/>
      <c r="X443" s="165">
        <f t="shared" si="233"/>
        <v>0</v>
      </c>
      <c r="Y443" s="301"/>
      <c r="Z443" s="288"/>
      <c r="AA443" s="316"/>
      <c r="AB443" s="329"/>
      <c r="AC443" s="316"/>
    </row>
    <row r="444" spans="1:29" ht="89.25" hidden="1" x14ac:dyDescent="0.2">
      <c r="A444" s="6" t="s">
        <v>531</v>
      </c>
      <c r="B444" s="138"/>
      <c r="C444" s="8"/>
      <c r="D444" s="30" t="s">
        <v>530</v>
      </c>
      <c r="E444" s="9" t="s">
        <v>284</v>
      </c>
      <c r="F444" s="8" t="s">
        <v>30</v>
      </c>
      <c r="G444" s="8"/>
      <c r="H444" s="31"/>
      <c r="I444" s="31"/>
      <c r="J444" s="31"/>
      <c r="K444" s="32"/>
      <c r="L444" s="32"/>
      <c r="M444" s="32"/>
      <c r="N444" s="55"/>
      <c r="O444" s="31"/>
      <c r="P444" s="260">
        <v>0</v>
      </c>
      <c r="Q444" s="165">
        <f t="shared" si="234"/>
        <v>0</v>
      </c>
      <c r="R444" s="165">
        <v>0</v>
      </c>
      <c r="S444" s="165"/>
      <c r="T444" s="165"/>
      <c r="U444" s="165"/>
      <c r="V444" s="165"/>
      <c r="W444" s="165"/>
      <c r="X444" s="165">
        <f t="shared" si="233"/>
        <v>0</v>
      </c>
      <c r="Y444" s="301"/>
      <c r="Z444" s="288"/>
      <c r="AA444" s="316"/>
      <c r="AB444" s="329"/>
      <c r="AC444" s="316"/>
    </row>
    <row r="445" spans="1:29" ht="12.75" customHeight="1" x14ac:dyDescent="0.2">
      <c r="A445" s="23" t="s">
        <v>41</v>
      </c>
      <c r="B445" s="161" t="s">
        <v>130</v>
      </c>
      <c r="C445" s="25" t="s">
        <v>301</v>
      </c>
      <c r="D445" s="43" t="s">
        <v>458</v>
      </c>
      <c r="E445" s="26" t="s">
        <v>19</v>
      </c>
      <c r="F445" s="25" t="s">
        <v>42</v>
      </c>
      <c r="G445" s="25"/>
      <c r="H445" s="192">
        <f t="shared" ref="H445:N445" si="235">H446+H447+H448+H453+H463+H472+H458</f>
        <v>3989634.1199999992</v>
      </c>
      <c r="I445" s="192">
        <f t="shared" si="235"/>
        <v>799742.00000000012</v>
      </c>
      <c r="J445" s="192">
        <f t="shared" si="235"/>
        <v>-3258</v>
      </c>
      <c r="K445" s="193">
        <f t="shared" si="235"/>
        <v>0</v>
      </c>
      <c r="L445" s="193">
        <f t="shared" si="235"/>
        <v>143000</v>
      </c>
      <c r="M445" s="193">
        <f t="shared" si="235"/>
        <v>660000</v>
      </c>
      <c r="N445" s="193">
        <f t="shared" si="235"/>
        <v>4694630.6999999993</v>
      </c>
      <c r="O445" s="192">
        <f>O446+O447+O448+O453+O463+O472+O458</f>
        <v>3798875.0319999997</v>
      </c>
      <c r="P445" s="428">
        <f>P446+P447+P448+P453+P463+P472+P458</f>
        <v>7904017.2199999988</v>
      </c>
      <c r="Q445" s="428">
        <f t="shared" ref="Q445:V445" si="236">Q446+Q447+Q448+Q453+Q463+Q472+Q458</f>
        <v>29466.610000000102</v>
      </c>
      <c r="R445" s="428">
        <f>R446+R447+R448+R453+R463+R472+R458</f>
        <v>-890328.81</v>
      </c>
      <c r="S445" s="428">
        <f t="shared" si="236"/>
        <v>0</v>
      </c>
      <c r="T445" s="428">
        <f t="shared" si="236"/>
        <v>0</v>
      </c>
      <c r="U445" s="428">
        <f t="shared" si="236"/>
        <v>919795.42000000016</v>
      </c>
      <c r="V445" s="428">
        <f t="shared" si="236"/>
        <v>0</v>
      </c>
      <c r="W445" s="428"/>
      <c r="X445" s="428">
        <f>X446+X447+X448+X453+X463+X472+X458</f>
        <v>7933483.8300000001</v>
      </c>
      <c r="Y445" s="301"/>
      <c r="Z445" s="288"/>
      <c r="AA445" s="316"/>
      <c r="AB445" s="401"/>
      <c r="AC445" s="316"/>
    </row>
    <row r="446" spans="1:29" ht="17.25" customHeight="1" x14ac:dyDescent="0.2">
      <c r="A446" s="6" t="s">
        <v>43</v>
      </c>
      <c r="B446" s="138" t="s">
        <v>130</v>
      </c>
      <c r="C446" s="8" t="s">
        <v>301</v>
      </c>
      <c r="D446" s="30" t="s">
        <v>458</v>
      </c>
      <c r="E446" s="9" t="s">
        <v>44</v>
      </c>
      <c r="F446" s="8" t="s">
        <v>45</v>
      </c>
      <c r="G446" s="8"/>
      <c r="H446" s="31">
        <v>110100</v>
      </c>
      <c r="I446" s="31">
        <f>SUM(J446:M446)</f>
        <v>0</v>
      </c>
      <c r="J446" s="31"/>
      <c r="K446" s="32"/>
      <c r="L446" s="32"/>
      <c r="M446" s="32"/>
      <c r="N446" s="33">
        <f>H446+I446</f>
        <v>110100</v>
      </c>
      <c r="O446" s="31">
        <f>110100*80%</f>
        <v>88080</v>
      </c>
      <c r="P446" s="260">
        <v>158901.44</v>
      </c>
      <c r="Q446" s="165">
        <f>R446+S446+T446+U446+V446</f>
        <v>1931.84</v>
      </c>
      <c r="R446" s="165">
        <v>1931.84</v>
      </c>
      <c r="S446" s="165"/>
      <c r="T446" s="165"/>
      <c r="U446" s="165"/>
      <c r="V446" s="165"/>
      <c r="W446" s="165"/>
      <c r="X446" s="165">
        <f>P446+Q446</f>
        <v>160833.28</v>
      </c>
      <c r="Y446" s="301"/>
      <c r="Z446" s="288"/>
      <c r="AA446" s="316"/>
      <c r="AB446" s="329"/>
      <c r="AC446" s="288"/>
    </row>
    <row r="447" spans="1:29" x14ac:dyDescent="0.2">
      <c r="A447" s="6" t="s">
        <v>43</v>
      </c>
      <c r="B447" s="138" t="s">
        <v>130</v>
      </c>
      <c r="C447" s="8" t="s">
        <v>301</v>
      </c>
      <c r="D447" s="30" t="s">
        <v>458</v>
      </c>
      <c r="E447" s="9" t="s">
        <v>46</v>
      </c>
      <c r="F447" s="8" t="s">
        <v>45</v>
      </c>
      <c r="G447" s="8"/>
      <c r="H447" s="31">
        <v>1000</v>
      </c>
      <c r="I447" s="31">
        <f>SUM(J447:M447)</f>
        <v>0</v>
      </c>
      <c r="J447" s="31"/>
      <c r="K447" s="32"/>
      <c r="L447" s="32"/>
      <c r="M447" s="32"/>
      <c r="N447" s="33">
        <f>H447+I447</f>
        <v>1000</v>
      </c>
      <c r="O447" s="31">
        <f>1000*80%</f>
        <v>800</v>
      </c>
      <c r="P447" s="260">
        <v>0</v>
      </c>
      <c r="Q447" s="165">
        <f>R447+S447+T447+U447+V447</f>
        <v>311.48</v>
      </c>
      <c r="R447" s="165">
        <v>311.48</v>
      </c>
      <c r="S447" s="165"/>
      <c r="T447" s="165"/>
      <c r="U447" s="165"/>
      <c r="V447" s="165"/>
      <c r="W447" s="165"/>
      <c r="X447" s="165">
        <f>P447+Q447</f>
        <v>311.48</v>
      </c>
      <c r="Y447" s="301"/>
      <c r="Z447" s="288"/>
      <c r="AA447" s="316"/>
      <c r="AB447" s="329"/>
      <c r="AC447" s="316"/>
    </row>
    <row r="448" spans="1:29" s="52" customFormat="1" ht="12.75" customHeight="1" x14ac:dyDescent="0.2">
      <c r="A448" s="48" t="s">
        <v>47</v>
      </c>
      <c r="B448" s="75" t="s">
        <v>130</v>
      </c>
      <c r="C448" s="43" t="s">
        <v>301</v>
      </c>
      <c r="D448" s="134" t="s">
        <v>18</v>
      </c>
      <c r="E448" s="44" t="s">
        <v>19</v>
      </c>
      <c r="F448" s="43" t="s">
        <v>48</v>
      </c>
      <c r="G448" s="43"/>
      <c r="H448" s="45">
        <f>SUM(H449:H451)</f>
        <v>360000</v>
      </c>
      <c r="I448" s="45">
        <f t="shared" ref="I448:N448" si="237">SUM(I449:I451)</f>
        <v>50000</v>
      </c>
      <c r="J448" s="45">
        <f t="shared" si="237"/>
        <v>0</v>
      </c>
      <c r="K448" s="45">
        <f t="shared" si="237"/>
        <v>0</v>
      </c>
      <c r="L448" s="45">
        <f t="shared" si="237"/>
        <v>0</v>
      </c>
      <c r="M448" s="45">
        <f t="shared" si="237"/>
        <v>50000</v>
      </c>
      <c r="N448" s="45">
        <f t="shared" si="237"/>
        <v>410000</v>
      </c>
      <c r="O448" s="45">
        <f>SUM(O449:O451)</f>
        <v>288000</v>
      </c>
      <c r="P448" s="353">
        <f>SUM(P449:P452)</f>
        <v>37049.03</v>
      </c>
      <c r="Q448" s="353">
        <f t="shared" ref="Q448:X448" si="238">SUM(Q449:Q452)</f>
        <v>0</v>
      </c>
      <c r="R448" s="353">
        <f t="shared" si="238"/>
        <v>0</v>
      </c>
      <c r="S448" s="353">
        <f t="shared" si="238"/>
        <v>0</v>
      </c>
      <c r="T448" s="353">
        <f t="shared" si="238"/>
        <v>0</v>
      </c>
      <c r="U448" s="353">
        <f t="shared" si="238"/>
        <v>0</v>
      </c>
      <c r="V448" s="353">
        <f t="shared" si="238"/>
        <v>0</v>
      </c>
      <c r="W448" s="353"/>
      <c r="X448" s="353">
        <f t="shared" si="238"/>
        <v>37049.03</v>
      </c>
      <c r="Y448" s="369"/>
      <c r="Z448" s="289"/>
      <c r="AA448" s="319"/>
      <c r="AB448" s="395"/>
      <c r="AC448" s="319"/>
    </row>
    <row r="449" spans="1:30" s="65" customFormat="1" ht="24.75" hidden="1" customHeight="1" x14ac:dyDescent="0.2">
      <c r="A449" s="117" t="s">
        <v>176</v>
      </c>
      <c r="B449" s="194"/>
      <c r="C449" s="30"/>
      <c r="D449" s="30" t="s">
        <v>458</v>
      </c>
      <c r="E449" s="62" t="s">
        <v>282</v>
      </c>
      <c r="F449" s="30"/>
      <c r="G449" s="30" t="s">
        <v>49</v>
      </c>
      <c r="H449" s="63">
        <v>60000</v>
      </c>
      <c r="I449" s="31">
        <f>SUM(J449:M449)</f>
        <v>700</v>
      </c>
      <c r="J449" s="63">
        <v>700</v>
      </c>
      <c r="K449" s="64"/>
      <c r="L449" s="64"/>
      <c r="M449" s="64"/>
      <c r="N449" s="33">
        <f>H449+I449</f>
        <v>60700</v>
      </c>
      <c r="O449" s="63">
        <f>60000*80%</f>
        <v>48000</v>
      </c>
      <c r="P449" s="262">
        <v>0</v>
      </c>
      <c r="Q449" s="163">
        <f>R449+S449+T449+U449+V449</f>
        <v>0</v>
      </c>
      <c r="R449" s="163"/>
      <c r="S449" s="163"/>
      <c r="T449" s="163"/>
      <c r="U449" s="163"/>
      <c r="V449" s="163"/>
      <c r="W449" s="163"/>
      <c r="X449" s="165">
        <f>P449+Q449</f>
        <v>0</v>
      </c>
      <c r="Y449" s="292"/>
      <c r="Z449" s="290"/>
      <c r="AA449" s="320"/>
      <c r="AB449" s="332"/>
      <c r="AC449" s="320"/>
    </row>
    <row r="450" spans="1:30" ht="25.5" hidden="1" x14ac:dyDescent="0.2">
      <c r="A450" s="38" t="s">
        <v>176</v>
      </c>
      <c r="B450" s="39"/>
      <c r="C450" s="8"/>
      <c r="D450" s="30" t="s">
        <v>304</v>
      </c>
      <c r="E450" s="9" t="s">
        <v>46</v>
      </c>
      <c r="F450" s="8"/>
      <c r="G450" s="8" t="s">
        <v>38</v>
      </c>
      <c r="H450" s="31">
        <v>0</v>
      </c>
      <c r="I450" s="31">
        <f>SUM(J450:M450)</f>
        <v>-700</v>
      </c>
      <c r="J450" s="31">
        <v>-700</v>
      </c>
      <c r="K450" s="32"/>
      <c r="L450" s="32"/>
      <c r="M450" s="32"/>
      <c r="N450" s="33">
        <f>H450+I450</f>
        <v>-700</v>
      </c>
      <c r="O450" s="31">
        <v>0</v>
      </c>
      <c r="P450" s="260">
        <v>0</v>
      </c>
      <c r="Q450" s="163">
        <f>R450+S450+T450+U450</f>
        <v>0</v>
      </c>
      <c r="R450" s="165"/>
      <c r="S450" s="165"/>
      <c r="T450" s="165"/>
      <c r="U450" s="165"/>
      <c r="V450" s="165"/>
      <c r="W450" s="165"/>
      <c r="X450" s="165">
        <f>P450+Q450</f>
        <v>0</v>
      </c>
      <c r="Y450" s="301"/>
      <c r="Z450" s="288"/>
      <c r="AA450" s="316"/>
      <c r="AB450" s="329"/>
      <c r="AC450" s="316"/>
    </row>
    <row r="451" spans="1:30" ht="39" customHeight="1" x14ac:dyDescent="0.2">
      <c r="A451" s="6" t="s">
        <v>131</v>
      </c>
      <c r="B451" s="7"/>
      <c r="C451" s="8"/>
      <c r="D451" s="30" t="s">
        <v>458</v>
      </c>
      <c r="E451" s="9" t="s">
        <v>46</v>
      </c>
      <c r="F451" s="8"/>
      <c r="G451" s="8" t="s">
        <v>49</v>
      </c>
      <c r="H451" s="31">
        <v>300000</v>
      </c>
      <c r="I451" s="31">
        <f>SUM(J451:M451)</f>
        <v>50000</v>
      </c>
      <c r="J451" s="31"/>
      <c r="K451" s="32"/>
      <c r="L451" s="32"/>
      <c r="M451" s="32">
        <v>50000</v>
      </c>
      <c r="N451" s="33">
        <f>H451+I451</f>
        <v>350000</v>
      </c>
      <c r="O451" s="31">
        <f>300000*80%</f>
        <v>240000</v>
      </c>
      <c r="P451" s="260">
        <v>37049.03</v>
      </c>
      <c r="Q451" s="163">
        <f>R451+S451+T451+U451+V451</f>
        <v>0</v>
      </c>
      <c r="R451" s="165">
        <v>0</v>
      </c>
      <c r="S451" s="165"/>
      <c r="T451" s="165"/>
      <c r="U451" s="165"/>
      <c r="V451" s="165"/>
      <c r="W451" s="165"/>
      <c r="X451" s="165">
        <f>P451+Q451</f>
        <v>37049.03</v>
      </c>
      <c r="Y451" s="301" t="s">
        <v>595</v>
      </c>
      <c r="Z451" s="288"/>
      <c r="AA451" s="316"/>
      <c r="AB451" s="329"/>
      <c r="AC451" s="316"/>
    </row>
    <row r="452" spans="1:30" ht="39" hidden="1" customHeight="1" x14ac:dyDescent="0.2">
      <c r="A452" s="6" t="s">
        <v>131</v>
      </c>
      <c r="B452" s="7"/>
      <c r="C452" s="8"/>
      <c r="D452" s="8" t="s">
        <v>459</v>
      </c>
      <c r="E452" s="9" t="s">
        <v>46</v>
      </c>
      <c r="F452" s="8"/>
      <c r="G452" s="8" t="s">
        <v>49</v>
      </c>
      <c r="H452" s="31"/>
      <c r="I452" s="31"/>
      <c r="J452" s="31"/>
      <c r="K452" s="32"/>
      <c r="L452" s="32"/>
      <c r="M452" s="32"/>
      <c r="N452" s="33"/>
      <c r="O452" s="31"/>
      <c r="P452" s="260">
        <v>0</v>
      </c>
      <c r="Q452" s="163">
        <f>R452+S452+T452+U452</f>
        <v>0</v>
      </c>
      <c r="R452" s="165"/>
      <c r="S452" s="165"/>
      <c r="T452" s="165"/>
      <c r="U452" s="165">
        <v>0</v>
      </c>
      <c r="V452" s="165"/>
      <c r="W452" s="165"/>
      <c r="X452" s="165">
        <f>P452+Q452</f>
        <v>0</v>
      </c>
      <c r="Y452" s="301"/>
      <c r="Z452" s="288"/>
      <c r="AA452" s="316"/>
      <c r="AB452" s="329"/>
      <c r="AC452" s="316"/>
    </row>
    <row r="453" spans="1:30" s="52" customFormat="1" x14ac:dyDescent="0.2">
      <c r="A453" s="48" t="s">
        <v>87</v>
      </c>
      <c r="B453" s="75" t="s">
        <v>130</v>
      </c>
      <c r="C453" s="43" t="s">
        <v>301</v>
      </c>
      <c r="D453" s="43" t="s">
        <v>458</v>
      </c>
      <c r="E453" s="44" t="s">
        <v>46</v>
      </c>
      <c r="F453" s="43" t="s">
        <v>88</v>
      </c>
      <c r="G453" s="43"/>
      <c r="H453" s="45">
        <f t="shared" ref="H453:N453" si="239">SUM(H454:H457)</f>
        <v>2530399.4799999995</v>
      </c>
      <c r="I453" s="45">
        <f t="shared" si="239"/>
        <v>600000</v>
      </c>
      <c r="J453" s="45">
        <f t="shared" si="239"/>
        <v>0</v>
      </c>
      <c r="K453" s="46">
        <f t="shared" si="239"/>
        <v>0</v>
      </c>
      <c r="L453" s="46">
        <f t="shared" si="239"/>
        <v>0</v>
      </c>
      <c r="M453" s="46">
        <f t="shared" si="239"/>
        <v>600000</v>
      </c>
      <c r="N453" s="47">
        <f t="shared" si="239"/>
        <v>3130399.4799999995</v>
      </c>
      <c r="O453" s="45">
        <f>SUM(O454:O457)</f>
        <v>2530399.4799999995</v>
      </c>
      <c r="P453" s="353">
        <f>SUM(P454:P457)</f>
        <v>3321204.6799999997</v>
      </c>
      <c r="Q453" s="353">
        <f t="shared" ref="Q453:X453" si="240">SUM(Q454:Q457)</f>
        <v>-951772.13</v>
      </c>
      <c r="R453" s="353">
        <f t="shared" si="240"/>
        <v>-951772.13</v>
      </c>
      <c r="S453" s="353">
        <f t="shared" si="240"/>
        <v>0</v>
      </c>
      <c r="T453" s="353">
        <f t="shared" si="240"/>
        <v>0</v>
      </c>
      <c r="U453" s="353">
        <f t="shared" si="240"/>
        <v>0</v>
      </c>
      <c r="V453" s="353">
        <f t="shared" si="240"/>
        <v>0</v>
      </c>
      <c r="W453" s="353"/>
      <c r="X453" s="353">
        <f t="shared" si="240"/>
        <v>2369432.5499999998</v>
      </c>
      <c r="Y453" s="369"/>
      <c r="Z453" s="289"/>
      <c r="AA453" s="319"/>
      <c r="AB453" s="395"/>
      <c r="AC453" s="319"/>
      <c r="AD453" s="319"/>
    </row>
    <row r="454" spans="1:30" s="316" customFormat="1" ht="15" customHeight="1" x14ac:dyDescent="0.2">
      <c r="A454" s="164" t="s">
        <v>306</v>
      </c>
      <c r="B454" s="344"/>
      <c r="C454" s="297"/>
      <c r="D454" s="297"/>
      <c r="E454" s="298"/>
      <c r="F454" s="297"/>
      <c r="G454" s="297" t="s">
        <v>90</v>
      </c>
      <c r="H454" s="165">
        <v>2174936.36</v>
      </c>
      <c r="I454" s="165">
        <f>SUM(J454:M454)</f>
        <v>500000</v>
      </c>
      <c r="J454" s="165">
        <v>0</v>
      </c>
      <c r="K454" s="165">
        <v>0</v>
      </c>
      <c r="L454" s="165">
        <v>0</v>
      </c>
      <c r="M454" s="165">
        <v>500000</v>
      </c>
      <c r="N454" s="293">
        <f>H454+I454</f>
        <v>2674936.36</v>
      </c>
      <c r="O454" s="165">
        <v>2174936.36</v>
      </c>
      <c r="P454" s="260">
        <v>3000263.03</v>
      </c>
      <c r="Q454" s="165">
        <f>R454+S454+T454+U454+V454</f>
        <v>-951772.13</v>
      </c>
      <c r="R454" s="165">
        <v>-951772.13</v>
      </c>
      <c r="S454" s="165">
        <v>0</v>
      </c>
      <c r="T454" s="165"/>
      <c r="U454" s="165"/>
      <c r="V454" s="165">
        <v>0</v>
      </c>
      <c r="W454" s="165"/>
      <c r="X454" s="165">
        <f>P454+Q454</f>
        <v>2048490.9</v>
      </c>
      <c r="Y454" s="301"/>
      <c r="Z454" s="288"/>
      <c r="AA454" s="288"/>
      <c r="AB454" s="329"/>
    </row>
    <row r="455" spans="1:30" ht="15" customHeight="1" x14ac:dyDescent="0.2">
      <c r="A455" s="40" t="s">
        <v>307</v>
      </c>
      <c r="B455" s="41"/>
      <c r="C455" s="8"/>
      <c r="D455" s="8"/>
      <c r="E455" s="9"/>
      <c r="F455" s="8"/>
      <c r="G455" s="8" t="s">
        <v>138</v>
      </c>
      <c r="H455" s="31">
        <v>302614.8</v>
      </c>
      <c r="I455" s="31">
        <f>SUM(J455:M455)</f>
        <v>100000</v>
      </c>
      <c r="J455" s="31">
        <v>0</v>
      </c>
      <c r="K455" s="32"/>
      <c r="L455" s="32"/>
      <c r="M455" s="32">
        <v>100000</v>
      </c>
      <c r="N455" s="33">
        <f>H455+I455</f>
        <v>402614.8</v>
      </c>
      <c r="O455" s="31">
        <v>302614.8</v>
      </c>
      <c r="P455" s="260">
        <v>239143.4</v>
      </c>
      <c r="Q455" s="165">
        <f t="shared" ref="Q455:Q456" si="241">R455+S455+T455+U455+V455</f>
        <v>0</v>
      </c>
      <c r="R455" s="165">
        <v>0</v>
      </c>
      <c r="S455" s="165"/>
      <c r="T455" s="165"/>
      <c r="U455" s="165"/>
      <c r="V455" s="165"/>
      <c r="W455" s="165"/>
      <c r="X455" s="165">
        <f>P455+Q455</f>
        <v>239143.4</v>
      </c>
      <c r="Y455" s="301"/>
      <c r="Z455" s="288"/>
      <c r="AA455" s="316"/>
      <c r="AB455" s="329"/>
      <c r="AC455" s="316"/>
      <c r="AD455" s="316"/>
    </row>
    <row r="456" spans="1:30" ht="30" customHeight="1" x14ac:dyDescent="0.2">
      <c r="A456" s="40" t="s">
        <v>93</v>
      </c>
      <c r="B456" s="41"/>
      <c r="C456" s="8"/>
      <c r="D456" s="8"/>
      <c r="E456" s="9"/>
      <c r="F456" s="8"/>
      <c r="G456" s="8" t="s">
        <v>139</v>
      </c>
      <c r="H456" s="31">
        <f>10587.92+30111.12</f>
        <v>40699.040000000001</v>
      </c>
      <c r="I456" s="31">
        <f>SUM(J456:M456)</f>
        <v>0</v>
      </c>
      <c r="J456" s="31"/>
      <c r="K456" s="32"/>
      <c r="L456" s="32"/>
      <c r="M456" s="32"/>
      <c r="N456" s="33">
        <f>H456+I456</f>
        <v>40699.040000000001</v>
      </c>
      <c r="O456" s="31">
        <f>10587.92+30111.12</f>
        <v>40699.040000000001</v>
      </c>
      <c r="P456" s="260">
        <v>55514.99</v>
      </c>
      <c r="Q456" s="165">
        <f t="shared" si="241"/>
        <v>0</v>
      </c>
      <c r="R456" s="165">
        <v>0</v>
      </c>
      <c r="S456" s="165"/>
      <c r="T456" s="165"/>
      <c r="U456" s="165"/>
      <c r="V456" s="165"/>
      <c r="W456" s="165"/>
      <c r="X456" s="165">
        <f>P456+Q456</f>
        <v>55514.99</v>
      </c>
      <c r="Y456" s="301"/>
      <c r="Z456" s="288"/>
      <c r="AA456" s="316"/>
      <c r="AB456" s="329"/>
      <c r="AC456" s="316"/>
      <c r="AD456" s="316"/>
    </row>
    <row r="457" spans="1:30" ht="16.5" customHeight="1" x14ac:dyDescent="0.2">
      <c r="A457" s="40" t="s">
        <v>95</v>
      </c>
      <c r="B457" s="41"/>
      <c r="C457" s="8"/>
      <c r="D457" s="8"/>
      <c r="E457" s="9"/>
      <c r="F457" s="8"/>
      <c r="G457" s="8" t="s">
        <v>96</v>
      </c>
      <c r="H457" s="31">
        <v>12149.28</v>
      </c>
      <c r="I457" s="31">
        <f>SUM(J457:M457)</f>
        <v>0</v>
      </c>
      <c r="J457" s="31"/>
      <c r="K457" s="32"/>
      <c r="L457" s="32"/>
      <c r="M457" s="32"/>
      <c r="N457" s="33">
        <f>H457+I457</f>
        <v>12149.28</v>
      </c>
      <c r="O457" s="31">
        <v>12149.28</v>
      </c>
      <c r="P457" s="260">
        <v>26283.26</v>
      </c>
      <c r="Q457" s="165">
        <f>R457+S457+T457+U457+V457</f>
        <v>0</v>
      </c>
      <c r="R457" s="165">
        <v>0</v>
      </c>
      <c r="S457" s="165"/>
      <c r="T457" s="165"/>
      <c r="U457" s="165"/>
      <c r="V457" s="165"/>
      <c r="W457" s="165"/>
      <c r="X457" s="165">
        <f>P457+Q457</f>
        <v>26283.26</v>
      </c>
      <c r="Y457" s="301"/>
      <c r="Z457" s="288"/>
      <c r="AA457" s="316"/>
      <c r="AB457" s="329"/>
      <c r="AC457" s="316"/>
      <c r="AD457" s="316"/>
    </row>
    <row r="458" spans="1:30" s="52" customFormat="1" ht="26.25" customHeight="1" x14ac:dyDescent="0.2">
      <c r="A458" s="48" t="s">
        <v>308</v>
      </c>
      <c r="B458" s="75" t="s">
        <v>130</v>
      </c>
      <c r="C458" s="43" t="s">
        <v>301</v>
      </c>
      <c r="D458" s="43" t="s">
        <v>427</v>
      </c>
      <c r="E458" s="44" t="s">
        <v>46</v>
      </c>
      <c r="F458" s="43" t="s">
        <v>88</v>
      </c>
      <c r="G458" s="43"/>
      <c r="H458" s="45">
        <f t="shared" ref="H458:N458" si="242">SUM(H459:H462)</f>
        <v>0</v>
      </c>
      <c r="I458" s="45">
        <f t="shared" si="242"/>
        <v>0</v>
      </c>
      <c r="J458" s="45">
        <f t="shared" si="242"/>
        <v>0</v>
      </c>
      <c r="K458" s="46">
        <f>SUM(K459:K462)</f>
        <v>0</v>
      </c>
      <c r="L458" s="46">
        <f t="shared" si="242"/>
        <v>0</v>
      </c>
      <c r="M458" s="46">
        <f t="shared" si="242"/>
        <v>0</v>
      </c>
      <c r="N458" s="47">
        <f t="shared" si="242"/>
        <v>0</v>
      </c>
      <c r="O458" s="45">
        <f>SUM(O459:O462)</f>
        <v>0</v>
      </c>
      <c r="P458" s="353">
        <f>SUM(P459:P462)</f>
        <v>3272451.07</v>
      </c>
      <c r="Q458" s="353">
        <f t="shared" ref="Q458:X458" si="243">SUM(Q459:Q462)</f>
        <v>188908.56</v>
      </c>
      <c r="R458" s="353">
        <f t="shared" si="243"/>
        <v>5699.7</v>
      </c>
      <c r="S458" s="353">
        <f t="shared" si="243"/>
        <v>0</v>
      </c>
      <c r="T458" s="353">
        <f t="shared" si="243"/>
        <v>0</v>
      </c>
      <c r="U458" s="353">
        <f t="shared" si="243"/>
        <v>183208.86</v>
      </c>
      <c r="V458" s="353">
        <f t="shared" si="243"/>
        <v>0</v>
      </c>
      <c r="W458" s="353"/>
      <c r="X458" s="353">
        <f t="shared" si="243"/>
        <v>3461359.6299999994</v>
      </c>
      <c r="Y458" s="369"/>
      <c r="Z458" s="289"/>
      <c r="AA458" s="319"/>
      <c r="AB458" s="395"/>
      <c r="AC458" s="319"/>
      <c r="AD458" s="319"/>
    </row>
    <row r="459" spans="1:30" ht="16.5" customHeight="1" x14ac:dyDescent="0.2">
      <c r="A459" s="40" t="s">
        <v>306</v>
      </c>
      <c r="B459" s="41"/>
      <c r="C459" s="8"/>
      <c r="D459" s="8"/>
      <c r="E459" s="9"/>
      <c r="F459" s="8"/>
      <c r="G459" s="8" t="s">
        <v>90</v>
      </c>
      <c r="H459" s="31"/>
      <c r="I459" s="31">
        <f>SUM(J459:M459)</f>
        <v>0</v>
      </c>
      <c r="J459" s="31">
        <v>0</v>
      </c>
      <c r="K459" s="31">
        <v>0</v>
      </c>
      <c r="L459" s="31">
        <v>0</v>
      </c>
      <c r="M459" s="31">
        <v>0</v>
      </c>
      <c r="N459" s="33">
        <f>H459+I459</f>
        <v>0</v>
      </c>
      <c r="O459" s="31"/>
      <c r="P459" s="260">
        <v>2845885.03</v>
      </c>
      <c r="Q459" s="165">
        <f>R459+S459+T459+U459+V459</f>
        <v>183208.86</v>
      </c>
      <c r="R459" s="165">
        <v>0</v>
      </c>
      <c r="S459" s="165"/>
      <c r="T459" s="165"/>
      <c r="U459" s="165">
        <v>183208.86</v>
      </c>
      <c r="V459" s="165"/>
      <c r="W459" s="165"/>
      <c r="X459" s="165">
        <f>P459+Q459</f>
        <v>3029093.8899999997</v>
      </c>
      <c r="Y459" s="301"/>
      <c r="Z459" s="288"/>
      <c r="AA459" s="316"/>
      <c r="AB459" s="329"/>
      <c r="AC459" s="316"/>
      <c r="AD459" s="316"/>
    </row>
    <row r="460" spans="1:30" ht="16.5" customHeight="1" x14ac:dyDescent="0.2">
      <c r="A460" s="40" t="s">
        <v>307</v>
      </c>
      <c r="B460" s="41"/>
      <c r="C460" s="8"/>
      <c r="D460" s="8"/>
      <c r="E460" s="9"/>
      <c r="F460" s="8"/>
      <c r="G460" s="8" t="s">
        <v>138</v>
      </c>
      <c r="H460" s="31"/>
      <c r="I460" s="31">
        <f>SUM(J460:M460)</f>
        <v>0</v>
      </c>
      <c r="J460" s="31">
        <v>0</v>
      </c>
      <c r="K460" s="32">
        <v>0</v>
      </c>
      <c r="L460" s="32">
        <v>0</v>
      </c>
      <c r="M460" s="32">
        <v>0</v>
      </c>
      <c r="N460" s="33">
        <f>H460+I460</f>
        <v>0</v>
      </c>
      <c r="O460" s="31"/>
      <c r="P460" s="260">
        <v>328649.7</v>
      </c>
      <c r="Q460" s="165">
        <f t="shared" ref="Q460:Q462" si="244">R460+S460+T460+U460+V460</f>
        <v>0</v>
      </c>
      <c r="R460" s="165"/>
      <c r="S460" s="165"/>
      <c r="T460" s="165"/>
      <c r="U460" s="165"/>
      <c r="V460" s="165"/>
      <c r="W460" s="165"/>
      <c r="X460" s="165">
        <f>P460+Q460</f>
        <v>328649.7</v>
      </c>
      <c r="Y460" s="301"/>
      <c r="Z460" s="288"/>
      <c r="AA460" s="316"/>
      <c r="AB460" s="329"/>
      <c r="AC460" s="316"/>
      <c r="AD460" s="316"/>
    </row>
    <row r="461" spans="1:30" ht="25.5" customHeight="1" x14ac:dyDescent="0.2">
      <c r="A461" s="40" t="s">
        <v>93</v>
      </c>
      <c r="B461" s="41"/>
      <c r="C461" s="8"/>
      <c r="D461" s="8"/>
      <c r="E461" s="9"/>
      <c r="F461" s="8"/>
      <c r="G461" s="8" t="s">
        <v>139</v>
      </c>
      <c r="H461" s="31"/>
      <c r="I461" s="31">
        <f>SUM(J461:M461)</f>
        <v>0</v>
      </c>
      <c r="J461" s="31">
        <v>0</v>
      </c>
      <c r="K461" s="32">
        <v>0</v>
      </c>
      <c r="L461" s="32">
        <v>0</v>
      </c>
      <c r="M461" s="32">
        <v>0</v>
      </c>
      <c r="N461" s="33">
        <f>H461+I461</f>
        <v>0</v>
      </c>
      <c r="O461" s="31"/>
      <c r="P461" s="260">
        <v>72476.31</v>
      </c>
      <c r="Q461" s="165">
        <f t="shared" si="244"/>
        <v>5699.7</v>
      </c>
      <c r="R461" s="165">
        <v>5699.7</v>
      </c>
      <c r="S461" s="165"/>
      <c r="T461" s="165"/>
      <c r="U461" s="165"/>
      <c r="V461" s="165"/>
      <c r="W461" s="165"/>
      <c r="X461" s="165">
        <f>P461+Q461</f>
        <v>78176.009999999995</v>
      </c>
      <c r="Y461" s="301"/>
      <c r="Z461" s="288"/>
      <c r="AA461" s="288"/>
      <c r="AB461" s="329"/>
      <c r="AC461" s="316"/>
      <c r="AD461" s="316"/>
    </row>
    <row r="462" spans="1:30" ht="16.5" customHeight="1" x14ac:dyDescent="0.2">
      <c r="A462" s="40" t="s">
        <v>95</v>
      </c>
      <c r="B462" s="41"/>
      <c r="C462" s="8"/>
      <c r="D462" s="8"/>
      <c r="E462" s="9"/>
      <c r="F462" s="8"/>
      <c r="G462" s="8" t="s">
        <v>96</v>
      </c>
      <c r="H462" s="31"/>
      <c r="I462" s="31">
        <f>SUM(J462:M462)</f>
        <v>0</v>
      </c>
      <c r="J462" s="31">
        <v>0</v>
      </c>
      <c r="K462" s="32">
        <v>0</v>
      </c>
      <c r="L462" s="32">
        <v>0</v>
      </c>
      <c r="M462" s="32">
        <v>0</v>
      </c>
      <c r="N462" s="33">
        <f>H462+I462</f>
        <v>0</v>
      </c>
      <c r="O462" s="31"/>
      <c r="P462" s="260">
        <v>25440.03</v>
      </c>
      <c r="Q462" s="165">
        <f t="shared" si="244"/>
        <v>0</v>
      </c>
      <c r="R462" s="165"/>
      <c r="S462" s="165"/>
      <c r="T462" s="165"/>
      <c r="U462" s="165"/>
      <c r="V462" s="165"/>
      <c r="W462" s="165"/>
      <c r="X462" s="165">
        <f>P462+Q462</f>
        <v>25440.03</v>
      </c>
      <c r="Y462" s="301"/>
      <c r="Z462" s="288"/>
      <c r="AA462" s="316"/>
      <c r="AB462" s="329"/>
      <c r="AC462" s="316"/>
      <c r="AD462" s="316"/>
    </row>
    <row r="463" spans="1:30" s="52" customFormat="1" ht="12.75" customHeight="1" x14ac:dyDescent="0.2">
      <c r="A463" s="48" t="s">
        <v>50</v>
      </c>
      <c r="B463" s="75" t="s">
        <v>130</v>
      </c>
      <c r="C463" s="43" t="s">
        <v>301</v>
      </c>
      <c r="D463" s="134" t="s">
        <v>18</v>
      </c>
      <c r="E463" s="44" t="s">
        <v>19</v>
      </c>
      <c r="F463" s="43" t="s">
        <v>51</v>
      </c>
      <c r="G463" s="43"/>
      <c r="H463" s="45">
        <f t="shared" ref="H463:N463" si="245">SUM(H464:H468)</f>
        <v>724373.72</v>
      </c>
      <c r="I463" s="45">
        <f t="shared" si="245"/>
        <v>187735.83000000002</v>
      </c>
      <c r="J463" s="45">
        <f t="shared" si="245"/>
        <v>44735.83</v>
      </c>
      <c r="K463" s="46">
        <f t="shared" si="245"/>
        <v>0</v>
      </c>
      <c r="L463" s="46">
        <f t="shared" si="245"/>
        <v>143000</v>
      </c>
      <c r="M463" s="46">
        <f t="shared" si="245"/>
        <v>0</v>
      </c>
      <c r="N463" s="47">
        <f t="shared" si="245"/>
        <v>817364.13</v>
      </c>
      <c r="O463" s="45">
        <f>SUM(O464:O468)</f>
        <v>680586.81599999999</v>
      </c>
      <c r="P463" s="353">
        <f t="shared" ref="P463:X463" si="246">SUM(P465:P471)</f>
        <v>864761.96</v>
      </c>
      <c r="Q463" s="353">
        <f t="shared" si="246"/>
        <v>702795.44000000018</v>
      </c>
      <c r="R463" s="353">
        <f>R465+R466+R467+R468+R469+R470+R471</f>
        <v>-5699.7</v>
      </c>
      <c r="S463" s="353">
        <f t="shared" si="246"/>
        <v>0</v>
      </c>
      <c r="T463" s="353">
        <f t="shared" si="246"/>
        <v>0</v>
      </c>
      <c r="U463" s="353">
        <f t="shared" si="246"/>
        <v>708495.14000000013</v>
      </c>
      <c r="V463" s="353">
        <f t="shared" si="246"/>
        <v>0</v>
      </c>
      <c r="W463" s="353"/>
      <c r="X463" s="353">
        <f t="shared" si="246"/>
        <v>1567557.4000000001</v>
      </c>
      <c r="Y463" s="369"/>
      <c r="Z463" s="289"/>
      <c r="AA463" s="319"/>
      <c r="AB463" s="395"/>
      <c r="AC463" s="319"/>
      <c r="AD463" s="319"/>
    </row>
    <row r="464" spans="1:30" ht="12.75" hidden="1" customHeight="1" x14ac:dyDescent="0.2">
      <c r="A464" s="6" t="s">
        <v>97</v>
      </c>
      <c r="B464" s="7"/>
      <c r="C464" s="8"/>
      <c r="D464" s="8"/>
      <c r="E464" s="9" t="s">
        <v>46</v>
      </c>
      <c r="F464" s="8"/>
      <c r="G464" s="8" t="s">
        <v>56</v>
      </c>
      <c r="H464" s="31">
        <v>0</v>
      </c>
      <c r="I464" s="31">
        <f>SUM(J464:M464)</f>
        <v>143000</v>
      </c>
      <c r="J464" s="31"/>
      <c r="K464" s="32"/>
      <c r="L464" s="32">
        <v>143000</v>
      </c>
      <c r="M464" s="32">
        <v>0</v>
      </c>
      <c r="N464" s="33">
        <f>H464+I464</f>
        <v>143000</v>
      </c>
      <c r="O464" s="31">
        <v>0</v>
      </c>
      <c r="P464" s="260">
        <v>0</v>
      </c>
      <c r="Q464" s="165"/>
      <c r="R464" s="165"/>
      <c r="S464" s="165"/>
      <c r="T464" s="165"/>
      <c r="U464" s="165"/>
      <c r="V464" s="165"/>
      <c r="W464" s="165"/>
      <c r="X464" s="165"/>
      <c r="Y464" s="301"/>
      <c r="Z464" s="288"/>
      <c r="AA464" s="316"/>
      <c r="AB464" s="329"/>
      <c r="AC464" s="316"/>
      <c r="AD464" s="316"/>
    </row>
    <row r="465" spans="1:30" ht="12.75" customHeight="1" x14ac:dyDescent="0.2">
      <c r="A465" s="6" t="s">
        <v>98</v>
      </c>
      <c r="B465" s="7"/>
      <c r="C465" s="8"/>
      <c r="D465" s="30" t="s">
        <v>458</v>
      </c>
      <c r="E465" s="9" t="s">
        <v>46</v>
      </c>
      <c r="F465" s="8"/>
      <c r="G465" s="8" t="s">
        <v>99</v>
      </c>
      <c r="H465" s="31">
        <v>69540</v>
      </c>
      <c r="I465" s="31">
        <f>SUM(J465:M465)</f>
        <v>4768</v>
      </c>
      <c r="J465" s="31">
        <v>4768</v>
      </c>
      <c r="K465" s="32"/>
      <c r="L465" s="32"/>
      <c r="M465" s="32"/>
      <c r="N465" s="33">
        <f>H465+I465</f>
        <v>74308</v>
      </c>
      <c r="O465" s="31">
        <f>69540*80%</f>
        <v>55632</v>
      </c>
      <c r="P465" s="260">
        <v>15805.5</v>
      </c>
      <c r="Q465" s="165">
        <f>R465+S465+T465+U465+V465</f>
        <v>0</v>
      </c>
      <c r="R465" s="165">
        <v>0</v>
      </c>
      <c r="S465" s="165"/>
      <c r="T465" s="165"/>
      <c r="U465" s="165"/>
      <c r="V465" s="165"/>
      <c r="W465" s="165"/>
      <c r="X465" s="165">
        <f t="shared" ref="X465:X471" si="247">P465+Q465</f>
        <v>15805.5</v>
      </c>
      <c r="Y465" s="301" t="s">
        <v>594</v>
      </c>
      <c r="Z465" s="288"/>
      <c r="AA465" s="316"/>
      <c r="AB465" s="329"/>
      <c r="AC465" s="316"/>
      <c r="AD465" s="316"/>
    </row>
    <row r="466" spans="1:30" ht="25.5" x14ac:dyDescent="0.2">
      <c r="A466" s="40" t="s">
        <v>309</v>
      </c>
      <c r="B466" s="41"/>
      <c r="C466" s="8"/>
      <c r="D466" s="30" t="s">
        <v>458</v>
      </c>
      <c r="E466" s="9" t="s">
        <v>46</v>
      </c>
      <c r="F466" s="8"/>
      <c r="G466" s="8" t="s">
        <v>53</v>
      </c>
      <c r="H466" s="31">
        <v>54649.1</v>
      </c>
      <c r="I466" s="31">
        <f>SUM(J466:M466)</f>
        <v>0</v>
      </c>
      <c r="J466" s="31"/>
      <c r="K466" s="32"/>
      <c r="L466" s="32"/>
      <c r="M466" s="32"/>
      <c r="N466" s="33">
        <f>H466+I466</f>
        <v>54649.1</v>
      </c>
      <c r="O466" s="31">
        <f>54649.1*80%</f>
        <v>43719.28</v>
      </c>
      <c r="P466" s="260">
        <v>223054.35</v>
      </c>
      <c r="Q466" s="165">
        <f t="shared" ref="Q466:Q470" si="248">R466+S466+T466+U466+V466</f>
        <v>322579.80000000005</v>
      </c>
      <c r="R466" s="165">
        <v>0</v>
      </c>
      <c r="S466" s="165"/>
      <c r="T466" s="165"/>
      <c r="U466" s="165">
        <f>107526.6+107526.6+107526.6</f>
        <v>322579.80000000005</v>
      </c>
      <c r="V466" s="165"/>
      <c r="W466" s="165"/>
      <c r="X466" s="165">
        <f t="shared" si="247"/>
        <v>545634.15</v>
      </c>
      <c r="Y466" s="301" t="s">
        <v>595</v>
      </c>
      <c r="Z466" s="288"/>
      <c r="AA466" s="316"/>
      <c r="AB466" s="329"/>
      <c r="AC466" s="316"/>
      <c r="AD466" s="316"/>
    </row>
    <row r="467" spans="1:30" x14ac:dyDescent="0.2">
      <c r="A467" s="40" t="s">
        <v>310</v>
      </c>
      <c r="B467" s="41"/>
      <c r="C467" s="8"/>
      <c r="D467" s="30" t="s">
        <v>458</v>
      </c>
      <c r="E467" s="9" t="s">
        <v>44</v>
      </c>
      <c r="F467" s="8"/>
      <c r="G467" s="8" t="s">
        <v>101</v>
      </c>
      <c r="H467" s="31">
        <v>94745.42</v>
      </c>
      <c r="I467" s="31"/>
      <c r="J467" s="31"/>
      <c r="K467" s="32"/>
      <c r="L467" s="32"/>
      <c r="M467" s="32"/>
      <c r="N467" s="33"/>
      <c r="O467" s="31">
        <f>94745.42*80%</f>
        <v>75796.335999999996</v>
      </c>
      <c r="P467" s="260">
        <v>16991.68</v>
      </c>
      <c r="Q467" s="165">
        <f t="shared" si="248"/>
        <v>0</v>
      </c>
      <c r="R467" s="165">
        <v>0</v>
      </c>
      <c r="S467" s="165"/>
      <c r="T467" s="165"/>
      <c r="U467" s="165"/>
      <c r="V467" s="165"/>
      <c r="W467" s="165"/>
      <c r="X467" s="165">
        <f t="shared" si="247"/>
        <v>16991.68</v>
      </c>
      <c r="Y467" s="301" t="s">
        <v>595</v>
      </c>
      <c r="Z467" s="288"/>
      <c r="AA467" s="316"/>
      <c r="AB467" s="329"/>
      <c r="AC467" s="316"/>
      <c r="AD467" s="316"/>
    </row>
    <row r="468" spans="1:30" x14ac:dyDescent="0.2">
      <c r="A468" s="40" t="s">
        <v>287</v>
      </c>
      <c r="B468" s="41"/>
      <c r="C468" s="8"/>
      <c r="D468" s="30" t="s">
        <v>458</v>
      </c>
      <c r="E468" s="9" t="s">
        <v>46</v>
      </c>
      <c r="F468" s="8"/>
      <c r="G468" s="8" t="s">
        <v>101</v>
      </c>
      <c r="H468" s="31">
        <f>1010878.4/2</f>
        <v>505439.2</v>
      </c>
      <c r="I468" s="31">
        <f>SUM(J468:M468)</f>
        <v>39967.83</v>
      </c>
      <c r="J468" s="31">
        <v>39967.83</v>
      </c>
      <c r="K468" s="32"/>
      <c r="L468" s="32"/>
      <c r="M468" s="32"/>
      <c r="N468" s="33">
        <f>H468+I468</f>
        <v>545407.03</v>
      </c>
      <c r="O468" s="31">
        <f>1010878.4/2</f>
        <v>505439.2</v>
      </c>
      <c r="P468" s="260">
        <v>171583.51</v>
      </c>
      <c r="Q468" s="165">
        <f t="shared" si="248"/>
        <v>385915.34</v>
      </c>
      <c r="R468" s="165">
        <v>0</v>
      </c>
      <c r="S468" s="165"/>
      <c r="T468" s="165"/>
      <c r="U468" s="165">
        <f>107526.6+107526.6+85766.97+20410.74+8960.55+26881.65+8960.55+19881.68</f>
        <v>385915.34</v>
      </c>
      <c r="V468" s="165"/>
      <c r="W468" s="165"/>
      <c r="X468" s="165">
        <f t="shared" si="247"/>
        <v>557498.85000000009</v>
      </c>
      <c r="Y468" s="301" t="s">
        <v>594</v>
      </c>
      <c r="Z468" s="288"/>
      <c r="AA468" s="316"/>
      <c r="AB468" s="329"/>
      <c r="AC468" s="316"/>
      <c r="AD468" s="316"/>
    </row>
    <row r="469" spans="1:30" ht="25.5" hidden="1" x14ac:dyDescent="0.2">
      <c r="A469" s="40" t="s">
        <v>510</v>
      </c>
      <c r="B469" s="41"/>
      <c r="C469" s="8"/>
      <c r="D469" s="30" t="s">
        <v>458</v>
      </c>
      <c r="E469" s="9" t="s">
        <v>46</v>
      </c>
      <c r="F469" s="8"/>
      <c r="G469" s="8" t="s">
        <v>101</v>
      </c>
      <c r="H469" s="31"/>
      <c r="I469" s="31"/>
      <c r="J469" s="31"/>
      <c r="K469" s="32"/>
      <c r="L469" s="32"/>
      <c r="M469" s="32"/>
      <c r="N469" s="33"/>
      <c r="O469" s="31"/>
      <c r="P469" s="260">
        <v>0</v>
      </c>
      <c r="Q469" s="165">
        <f t="shared" si="248"/>
        <v>0</v>
      </c>
      <c r="R469" s="165"/>
      <c r="S469" s="165"/>
      <c r="T469" s="165"/>
      <c r="U469" s="165"/>
      <c r="V469" s="165"/>
      <c r="W469" s="165"/>
      <c r="X469" s="165">
        <f t="shared" si="247"/>
        <v>0</v>
      </c>
      <c r="Y469" s="301"/>
      <c r="Z469" s="288"/>
      <c r="AA469" s="316"/>
      <c r="AB469" s="329"/>
      <c r="AC469" s="316"/>
      <c r="AD469" s="316"/>
    </row>
    <row r="470" spans="1:30" x14ac:dyDescent="0.2">
      <c r="A470" s="40" t="s">
        <v>287</v>
      </c>
      <c r="B470" s="41"/>
      <c r="C470" s="8"/>
      <c r="D470" s="30" t="s">
        <v>427</v>
      </c>
      <c r="E470" s="9" t="s">
        <v>46</v>
      </c>
      <c r="F470" s="8"/>
      <c r="G470" s="8" t="s">
        <v>101</v>
      </c>
      <c r="H470" s="31">
        <f>1010878.4/2</f>
        <v>505439.2</v>
      </c>
      <c r="I470" s="31">
        <f>SUM(J470:M470)</f>
        <v>39967.83</v>
      </c>
      <c r="J470" s="31">
        <v>39967.83</v>
      </c>
      <c r="K470" s="32"/>
      <c r="L470" s="32"/>
      <c r="M470" s="32"/>
      <c r="N470" s="33">
        <f>H470+I470</f>
        <v>545407.03</v>
      </c>
      <c r="O470" s="31">
        <f>1010878.4/2</f>
        <v>505439.2</v>
      </c>
      <c r="P470" s="260">
        <v>437326.92</v>
      </c>
      <c r="Q470" s="165">
        <f t="shared" si="248"/>
        <v>-5699.7</v>
      </c>
      <c r="R470" s="165">
        <v>-5699.7</v>
      </c>
      <c r="S470" s="165"/>
      <c r="T470" s="165"/>
      <c r="U470" s="165">
        <v>0</v>
      </c>
      <c r="V470" s="165"/>
      <c r="W470" s="165"/>
      <c r="X470" s="165">
        <f t="shared" si="247"/>
        <v>431627.22</v>
      </c>
      <c r="Y470" s="301"/>
      <c r="Z470" s="288"/>
      <c r="AA470" s="316"/>
      <c r="AB470" s="329"/>
      <c r="AC470" s="316"/>
      <c r="AD470" s="316"/>
    </row>
    <row r="471" spans="1:30" ht="25.5" hidden="1" x14ac:dyDescent="0.2">
      <c r="A471" s="40" t="s">
        <v>404</v>
      </c>
      <c r="B471" s="41"/>
      <c r="C471" s="8"/>
      <c r="D471" s="30" t="s">
        <v>458</v>
      </c>
      <c r="E471" s="9" t="s">
        <v>46</v>
      </c>
      <c r="F471" s="8"/>
      <c r="G471" s="8" t="s">
        <v>56</v>
      </c>
      <c r="H471" s="31"/>
      <c r="I471" s="31"/>
      <c r="J471" s="31"/>
      <c r="K471" s="32"/>
      <c r="L471" s="32"/>
      <c r="M471" s="32"/>
      <c r="N471" s="55"/>
      <c r="O471" s="31"/>
      <c r="P471" s="260">
        <v>0</v>
      </c>
      <c r="Q471" s="165">
        <f>R471+S471+T471+U471+V471</f>
        <v>0</v>
      </c>
      <c r="R471" s="165"/>
      <c r="S471" s="165"/>
      <c r="T471" s="165"/>
      <c r="U471" s="165"/>
      <c r="V471" s="165"/>
      <c r="W471" s="165"/>
      <c r="X471" s="165">
        <f t="shared" si="247"/>
        <v>0</v>
      </c>
      <c r="Y471" s="301"/>
      <c r="Z471" s="288"/>
      <c r="AA471" s="316"/>
      <c r="AB471" s="329"/>
      <c r="AC471" s="316"/>
    </row>
    <row r="472" spans="1:30" s="319" customFormat="1" ht="12.75" customHeight="1" x14ac:dyDescent="0.2">
      <c r="A472" s="137" t="s">
        <v>57</v>
      </c>
      <c r="B472" s="455" t="s">
        <v>130</v>
      </c>
      <c r="C472" s="170" t="s">
        <v>301</v>
      </c>
      <c r="D472" s="476" t="s">
        <v>18</v>
      </c>
      <c r="E472" s="456" t="s">
        <v>19</v>
      </c>
      <c r="F472" s="170" t="s">
        <v>58</v>
      </c>
      <c r="G472" s="170"/>
      <c r="H472" s="315">
        <f>SUM(H473:H483)</f>
        <v>263760.92</v>
      </c>
      <c r="I472" s="315">
        <f t="shared" ref="I472:N472" si="249">SUM(I473:I483)</f>
        <v>-37993.83</v>
      </c>
      <c r="J472" s="315">
        <f t="shared" si="249"/>
        <v>-47993.83</v>
      </c>
      <c r="K472" s="315">
        <f t="shared" si="249"/>
        <v>0</v>
      </c>
      <c r="L472" s="315">
        <f t="shared" si="249"/>
        <v>0</v>
      </c>
      <c r="M472" s="315">
        <f t="shared" si="249"/>
        <v>10000</v>
      </c>
      <c r="N472" s="315">
        <f t="shared" si="249"/>
        <v>225767.08999999997</v>
      </c>
      <c r="O472" s="315">
        <f>SUM(O473:O483)</f>
        <v>211008.736</v>
      </c>
      <c r="P472" s="353">
        <f>SUM(P473:P485)</f>
        <v>249649.03999999998</v>
      </c>
      <c r="Q472" s="353">
        <f>SUM(Q473:Q485)</f>
        <v>87291.42</v>
      </c>
      <c r="R472" s="353">
        <f t="shared" ref="R472:V472" si="250">SUM(R473:R485)</f>
        <v>59200</v>
      </c>
      <c r="S472" s="353">
        <f t="shared" si="250"/>
        <v>0</v>
      </c>
      <c r="T472" s="353">
        <f t="shared" si="250"/>
        <v>0</v>
      </c>
      <c r="U472" s="353">
        <f t="shared" si="250"/>
        <v>28091.42</v>
      </c>
      <c r="V472" s="353">
        <f t="shared" si="250"/>
        <v>0</v>
      </c>
      <c r="W472" s="353"/>
      <c r="X472" s="353">
        <f>SUM(X473:X485)</f>
        <v>336940.45999999996</v>
      </c>
      <c r="Y472" s="369"/>
      <c r="Z472" s="289"/>
      <c r="AB472" s="395"/>
    </row>
    <row r="473" spans="1:30" s="320" customFormat="1" ht="27" customHeight="1" x14ac:dyDescent="0.2">
      <c r="A473" s="60" t="s">
        <v>628</v>
      </c>
      <c r="B473" s="454"/>
      <c r="C473" s="169"/>
      <c r="D473" s="169"/>
      <c r="E473" s="185" t="s">
        <v>282</v>
      </c>
      <c r="F473" s="169"/>
      <c r="G473" s="169" t="s">
        <v>38</v>
      </c>
      <c r="H473" s="163">
        <v>25000</v>
      </c>
      <c r="I473" s="165">
        <f t="shared" ref="I473:I483" si="251">SUM(J473:M473)</f>
        <v>4000</v>
      </c>
      <c r="J473" s="163">
        <v>4000</v>
      </c>
      <c r="K473" s="292"/>
      <c r="L473" s="292"/>
      <c r="M473" s="292"/>
      <c r="N473" s="293">
        <f t="shared" ref="N473:N483" si="252">H473+I473</f>
        <v>29000</v>
      </c>
      <c r="O473" s="163">
        <f>25000*80%</f>
        <v>20000</v>
      </c>
      <c r="P473" s="262">
        <v>0</v>
      </c>
      <c r="Q473" s="165">
        <f t="shared" ref="Q473:Q475" si="253">R473+S473+T473+U473+V473</f>
        <v>16980</v>
      </c>
      <c r="R473" s="163"/>
      <c r="S473" s="163"/>
      <c r="T473" s="163"/>
      <c r="U473" s="163">
        <f>3600+880+12500</f>
        <v>16980</v>
      </c>
      <c r="V473" s="163"/>
      <c r="W473" s="163"/>
      <c r="X473" s="165">
        <f t="shared" ref="X473:X485" si="254">P473+Q473</f>
        <v>16980</v>
      </c>
      <c r="Y473" s="292"/>
      <c r="Z473" s="290"/>
      <c r="AB473" s="332"/>
    </row>
    <row r="474" spans="1:30" s="316" customFormat="1" ht="12.75" hidden="1" customHeight="1" x14ac:dyDescent="0.2">
      <c r="A474" s="53" t="s">
        <v>311</v>
      </c>
      <c r="B474" s="296"/>
      <c r="C474" s="297"/>
      <c r="D474" s="297"/>
      <c r="E474" s="298" t="s">
        <v>46</v>
      </c>
      <c r="F474" s="297"/>
      <c r="G474" s="297" t="s">
        <v>38</v>
      </c>
      <c r="H474" s="165">
        <v>0</v>
      </c>
      <c r="I474" s="165">
        <f t="shared" si="251"/>
        <v>-4000</v>
      </c>
      <c r="J474" s="165">
        <v>-4000</v>
      </c>
      <c r="K474" s="301"/>
      <c r="L474" s="301"/>
      <c r="M474" s="301"/>
      <c r="N474" s="293">
        <f t="shared" si="252"/>
        <v>-4000</v>
      </c>
      <c r="O474" s="165">
        <v>0</v>
      </c>
      <c r="P474" s="260">
        <v>0</v>
      </c>
      <c r="Q474" s="165">
        <f t="shared" si="253"/>
        <v>0</v>
      </c>
      <c r="R474" s="165"/>
      <c r="S474" s="163"/>
      <c r="T474" s="163"/>
      <c r="U474" s="163"/>
      <c r="V474" s="163"/>
      <c r="W474" s="163"/>
      <c r="X474" s="165">
        <f t="shared" si="254"/>
        <v>0</v>
      </c>
      <c r="Y474" s="301"/>
      <c r="Z474" s="288"/>
      <c r="AB474" s="329"/>
    </row>
    <row r="475" spans="1:30" s="316" customFormat="1" ht="67.5" hidden="1" customHeight="1" x14ac:dyDescent="0.2">
      <c r="A475" s="478" t="s">
        <v>312</v>
      </c>
      <c r="B475" s="296"/>
      <c r="C475" s="297"/>
      <c r="D475" s="169" t="s">
        <v>458</v>
      </c>
      <c r="E475" s="298" t="s">
        <v>46</v>
      </c>
      <c r="F475" s="297"/>
      <c r="G475" s="297" t="s">
        <v>103</v>
      </c>
      <c r="H475" s="165">
        <v>0</v>
      </c>
      <c r="I475" s="165">
        <f t="shared" si="251"/>
        <v>0</v>
      </c>
      <c r="J475" s="165">
        <v>0</v>
      </c>
      <c r="K475" s="301">
        <v>0</v>
      </c>
      <c r="L475" s="301">
        <v>0</v>
      </c>
      <c r="M475" s="301">
        <v>0</v>
      </c>
      <c r="N475" s="293">
        <f t="shared" si="252"/>
        <v>0</v>
      </c>
      <c r="O475" s="165">
        <v>0</v>
      </c>
      <c r="P475" s="260">
        <v>0</v>
      </c>
      <c r="Q475" s="165">
        <f t="shared" si="253"/>
        <v>0</v>
      </c>
      <c r="R475" s="165"/>
      <c r="S475" s="163"/>
      <c r="T475" s="163"/>
      <c r="U475" s="163"/>
      <c r="V475" s="163"/>
      <c r="W475" s="163"/>
      <c r="X475" s="165">
        <f t="shared" si="254"/>
        <v>0</v>
      </c>
      <c r="Y475" s="301"/>
      <c r="Z475" s="288"/>
      <c r="AB475" s="329"/>
    </row>
    <row r="476" spans="1:30" s="316" customFormat="1" ht="25.5" x14ac:dyDescent="0.2">
      <c r="A476" s="148" t="s">
        <v>313</v>
      </c>
      <c r="B476" s="336"/>
      <c r="C476" s="297"/>
      <c r="D476" s="169" t="s">
        <v>458</v>
      </c>
      <c r="E476" s="298" t="s">
        <v>46</v>
      </c>
      <c r="F476" s="297"/>
      <c r="G476" s="297" t="s">
        <v>146</v>
      </c>
      <c r="H476" s="165">
        <v>53760.92</v>
      </c>
      <c r="I476" s="165">
        <f t="shared" si="251"/>
        <v>0</v>
      </c>
      <c r="J476" s="165"/>
      <c r="K476" s="301"/>
      <c r="L476" s="301"/>
      <c r="M476" s="301"/>
      <c r="N476" s="293">
        <f t="shared" si="252"/>
        <v>53760.92</v>
      </c>
      <c r="O476" s="165">
        <f>53760.92*80%</f>
        <v>43008.736000000004</v>
      </c>
      <c r="P476" s="260">
        <v>11203.26</v>
      </c>
      <c r="Q476" s="165">
        <f t="shared" ref="Q476:Q484" si="255">R476+S476+T476+U476+V476</f>
        <v>11111.42</v>
      </c>
      <c r="R476" s="165">
        <v>0</v>
      </c>
      <c r="S476" s="163"/>
      <c r="T476" s="163"/>
      <c r="U476" s="163">
        <v>11111.42</v>
      </c>
      <c r="V476" s="163"/>
      <c r="W476" s="163"/>
      <c r="X476" s="165">
        <f t="shared" si="254"/>
        <v>22314.68</v>
      </c>
      <c r="Y476" s="301" t="s">
        <v>594</v>
      </c>
      <c r="Z476" s="288"/>
      <c r="AB476" s="329"/>
    </row>
    <row r="477" spans="1:30" s="316" customFormat="1" ht="25.5" x14ac:dyDescent="0.2">
      <c r="A477" s="148" t="s">
        <v>313</v>
      </c>
      <c r="B477" s="336"/>
      <c r="C477" s="297"/>
      <c r="D477" s="169" t="s">
        <v>427</v>
      </c>
      <c r="E477" s="298" t="s">
        <v>46</v>
      </c>
      <c r="F477" s="297"/>
      <c r="G477" s="297" t="s">
        <v>146</v>
      </c>
      <c r="H477" s="165"/>
      <c r="I477" s="165"/>
      <c r="J477" s="165"/>
      <c r="K477" s="301"/>
      <c r="L477" s="301"/>
      <c r="M477" s="301"/>
      <c r="N477" s="293"/>
      <c r="O477" s="165"/>
      <c r="P477" s="260">
        <v>33137.65</v>
      </c>
      <c r="Q477" s="165">
        <f t="shared" si="255"/>
        <v>0</v>
      </c>
      <c r="R477" s="165"/>
      <c r="S477" s="163"/>
      <c r="T477" s="163"/>
      <c r="U477" s="163"/>
      <c r="V477" s="163"/>
      <c r="W477" s="163"/>
      <c r="X477" s="165">
        <f t="shared" si="254"/>
        <v>33137.65</v>
      </c>
      <c r="Y477" s="301"/>
      <c r="Z477" s="288"/>
      <c r="AB477" s="329"/>
    </row>
    <row r="478" spans="1:30" s="316" customFormat="1" ht="25.5" x14ac:dyDescent="0.2">
      <c r="A478" s="148" t="s">
        <v>61</v>
      </c>
      <c r="B478" s="336"/>
      <c r="C478" s="297"/>
      <c r="D478" s="169" t="s">
        <v>458</v>
      </c>
      <c r="E478" s="298" t="s">
        <v>46</v>
      </c>
      <c r="F478" s="297"/>
      <c r="G478" s="297" t="s">
        <v>62</v>
      </c>
      <c r="H478" s="165">
        <v>35000</v>
      </c>
      <c r="I478" s="165">
        <f t="shared" si="251"/>
        <v>0</v>
      </c>
      <c r="J478" s="165"/>
      <c r="K478" s="301"/>
      <c r="L478" s="301"/>
      <c r="M478" s="301"/>
      <c r="N478" s="293">
        <f t="shared" si="252"/>
        <v>35000</v>
      </c>
      <c r="O478" s="165">
        <f>35000*80%</f>
        <v>28000</v>
      </c>
      <c r="P478" s="260">
        <v>9554.73</v>
      </c>
      <c r="Q478" s="165">
        <f t="shared" si="255"/>
        <v>0</v>
      </c>
      <c r="R478" s="165">
        <v>0</v>
      </c>
      <c r="S478" s="163"/>
      <c r="T478" s="163"/>
      <c r="U478" s="163"/>
      <c r="V478" s="163"/>
      <c r="W478" s="163"/>
      <c r="X478" s="165">
        <f t="shared" si="254"/>
        <v>9554.73</v>
      </c>
      <c r="Y478" s="301" t="s">
        <v>594</v>
      </c>
      <c r="Z478" s="288"/>
      <c r="AB478" s="329"/>
    </row>
    <row r="479" spans="1:30" s="316" customFormat="1" x14ac:dyDescent="0.2">
      <c r="A479" s="148" t="s">
        <v>314</v>
      </c>
      <c r="B479" s="336"/>
      <c r="C479" s="297"/>
      <c r="D479" s="169" t="s">
        <v>458</v>
      </c>
      <c r="E479" s="298" t="s">
        <v>44</v>
      </c>
      <c r="F479" s="297" t="s">
        <v>58</v>
      </c>
      <c r="G479" s="297" t="s">
        <v>60</v>
      </c>
      <c r="H479" s="165">
        <v>50000</v>
      </c>
      <c r="I479" s="165">
        <f t="shared" si="251"/>
        <v>19000</v>
      </c>
      <c r="J479" s="165">
        <v>19000</v>
      </c>
      <c r="K479" s="301"/>
      <c r="L479" s="301"/>
      <c r="M479" s="301"/>
      <c r="N479" s="293">
        <f t="shared" si="252"/>
        <v>69000</v>
      </c>
      <c r="O479" s="165">
        <f>50000*80%</f>
        <v>40000</v>
      </c>
      <c r="P479" s="260">
        <v>24115</v>
      </c>
      <c r="Q479" s="165">
        <f t="shared" si="255"/>
        <v>40500</v>
      </c>
      <c r="R479" s="165">
        <v>40500</v>
      </c>
      <c r="S479" s="163"/>
      <c r="T479" s="163"/>
      <c r="U479" s="163"/>
      <c r="V479" s="163"/>
      <c r="W479" s="163"/>
      <c r="X479" s="165">
        <f t="shared" si="254"/>
        <v>64615</v>
      </c>
      <c r="Y479" s="301" t="s">
        <v>594</v>
      </c>
      <c r="Z479" s="288"/>
      <c r="AB479" s="329"/>
    </row>
    <row r="480" spans="1:30" s="316" customFormat="1" hidden="1" x14ac:dyDescent="0.2">
      <c r="A480" s="148" t="s">
        <v>315</v>
      </c>
      <c r="B480" s="336"/>
      <c r="C480" s="297"/>
      <c r="D480" s="169" t="s">
        <v>458</v>
      </c>
      <c r="E480" s="298" t="s">
        <v>46</v>
      </c>
      <c r="F480" s="297"/>
      <c r="G480" s="297" t="s">
        <v>316</v>
      </c>
      <c r="H480" s="165">
        <v>0</v>
      </c>
      <c r="I480" s="165">
        <f t="shared" si="251"/>
        <v>0</v>
      </c>
      <c r="J480" s="165">
        <v>0</v>
      </c>
      <c r="K480" s="301">
        <v>0</v>
      </c>
      <c r="L480" s="301">
        <v>0</v>
      </c>
      <c r="M480" s="301">
        <v>0</v>
      </c>
      <c r="N480" s="293">
        <f t="shared" si="252"/>
        <v>0</v>
      </c>
      <c r="O480" s="165">
        <v>0</v>
      </c>
      <c r="P480" s="260">
        <v>0</v>
      </c>
      <c r="Q480" s="165">
        <f>R480+S480+T480+U480+V480</f>
        <v>0</v>
      </c>
      <c r="R480" s="165"/>
      <c r="S480" s="163">
        <v>0</v>
      </c>
      <c r="T480" s="163"/>
      <c r="U480" s="163"/>
      <c r="V480" s="163"/>
      <c r="W480" s="163"/>
      <c r="X480" s="165">
        <f t="shared" si="254"/>
        <v>0</v>
      </c>
      <c r="Y480" s="301"/>
      <c r="Z480" s="288"/>
      <c r="AB480" s="329"/>
    </row>
    <row r="481" spans="1:34" s="316" customFormat="1" x14ac:dyDescent="0.2">
      <c r="A481" s="148" t="s">
        <v>317</v>
      </c>
      <c r="B481" s="336"/>
      <c r="C481" s="297"/>
      <c r="D481" s="169" t="s">
        <v>304</v>
      </c>
      <c r="E481" s="298" t="s">
        <v>46</v>
      </c>
      <c r="F481" s="297"/>
      <c r="G481" s="297" t="s">
        <v>108</v>
      </c>
      <c r="H481" s="165">
        <v>0</v>
      </c>
      <c r="I481" s="165">
        <f t="shared" si="251"/>
        <v>0</v>
      </c>
      <c r="J481" s="165">
        <v>0</v>
      </c>
      <c r="K481" s="301">
        <v>0</v>
      </c>
      <c r="L481" s="301">
        <v>0</v>
      </c>
      <c r="M481" s="301">
        <v>0</v>
      </c>
      <c r="N481" s="293">
        <f t="shared" si="252"/>
        <v>0</v>
      </c>
      <c r="O481" s="165">
        <v>0</v>
      </c>
      <c r="P481" s="260">
        <v>0</v>
      </c>
      <c r="Q481" s="165">
        <f t="shared" si="255"/>
        <v>18700</v>
      </c>
      <c r="R481" s="165">
        <v>18700</v>
      </c>
      <c r="S481" s="163"/>
      <c r="T481" s="163"/>
      <c r="U481" s="163"/>
      <c r="V481" s="163"/>
      <c r="W481" s="163"/>
      <c r="X481" s="165">
        <f t="shared" si="254"/>
        <v>18700</v>
      </c>
      <c r="Y481" s="301"/>
      <c r="Z481" s="288"/>
      <c r="AB481" s="329"/>
    </row>
    <row r="482" spans="1:34" s="316" customFormat="1" x14ac:dyDescent="0.2">
      <c r="A482" s="148" t="s">
        <v>147</v>
      </c>
      <c r="B482" s="336"/>
      <c r="C482" s="297"/>
      <c r="D482" s="169" t="s">
        <v>458</v>
      </c>
      <c r="E482" s="298" t="s">
        <v>46</v>
      </c>
      <c r="F482" s="297" t="s">
        <v>58</v>
      </c>
      <c r="G482" s="297" t="s">
        <v>64</v>
      </c>
      <c r="H482" s="165">
        <v>0</v>
      </c>
      <c r="I482" s="165">
        <f t="shared" si="251"/>
        <v>6742</v>
      </c>
      <c r="J482" s="165">
        <f>-3258</f>
        <v>-3258</v>
      </c>
      <c r="K482" s="301"/>
      <c r="L482" s="301"/>
      <c r="M482" s="301">
        <v>10000</v>
      </c>
      <c r="N482" s="293">
        <f t="shared" si="252"/>
        <v>6742</v>
      </c>
      <c r="O482" s="165">
        <v>0</v>
      </c>
      <c r="P482" s="260">
        <v>171638.39999999999</v>
      </c>
      <c r="Q482" s="165">
        <f>R482+S482+T482+U482+V482</f>
        <v>0</v>
      </c>
      <c r="R482" s="165">
        <v>0</v>
      </c>
      <c r="S482" s="163"/>
      <c r="T482" s="163"/>
      <c r="U482" s="163"/>
      <c r="V482" s="163"/>
      <c r="W482" s="163"/>
      <c r="X482" s="165">
        <f t="shared" si="254"/>
        <v>171638.39999999999</v>
      </c>
      <c r="Y482" s="301" t="s">
        <v>595</v>
      </c>
      <c r="Z482" s="288"/>
      <c r="AB482" s="329"/>
    </row>
    <row r="483" spans="1:34" s="316" customFormat="1" ht="17.25" hidden="1" customHeight="1" x14ac:dyDescent="0.2">
      <c r="A483" s="148" t="s">
        <v>147</v>
      </c>
      <c r="B483" s="336"/>
      <c r="C483" s="297"/>
      <c r="D483" s="169"/>
      <c r="E483" s="298" t="s">
        <v>46</v>
      </c>
      <c r="F483" s="297"/>
      <c r="G483" s="297" t="s">
        <v>64</v>
      </c>
      <c r="H483" s="165">
        <v>100000</v>
      </c>
      <c r="I483" s="165">
        <f t="shared" si="251"/>
        <v>-63735.83</v>
      </c>
      <c r="J483" s="165">
        <f>-23768-39967.83</f>
        <v>-63735.83</v>
      </c>
      <c r="K483" s="301"/>
      <c r="L483" s="301"/>
      <c r="M483" s="301"/>
      <c r="N483" s="293">
        <f t="shared" si="252"/>
        <v>36264.17</v>
      </c>
      <c r="O483" s="165">
        <f>100000*80%</f>
        <v>80000</v>
      </c>
      <c r="P483" s="260">
        <v>0</v>
      </c>
      <c r="Q483" s="165">
        <f t="shared" si="255"/>
        <v>0</v>
      </c>
      <c r="R483" s="165"/>
      <c r="S483" s="163"/>
      <c r="T483" s="163"/>
      <c r="U483" s="163"/>
      <c r="V483" s="163"/>
      <c r="W483" s="163"/>
      <c r="X483" s="165">
        <f t="shared" si="254"/>
        <v>0</v>
      </c>
      <c r="Y483" s="301"/>
      <c r="Z483" s="288"/>
      <c r="AB483" s="329"/>
    </row>
    <row r="484" spans="1:34" s="316" customFormat="1" ht="17.25" hidden="1" customHeight="1" x14ac:dyDescent="0.2">
      <c r="A484" s="148" t="s">
        <v>315</v>
      </c>
      <c r="B484" s="336"/>
      <c r="C484" s="297"/>
      <c r="D484" s="169" t="s">
        <v>459</v>
      </c>
      <c r="E484" s="298" t="s">
        <v>46</v>
      </c>
      <c r="F484" s="297"/>
      <c r="G484" s="297" t="s">
        <v>316</v>
      </c>
      <c r="H484" s="165"/>
      <c r="I484" s="165"/>
      <c r="J484" s="165"/>
      <c r="K484" s="301"/>
      <c r="L484" s="301"/>
      <c r="M484" s="301"/>
      <c r="N484" s="293"/>
      <c r="O484" s="165"/>
      <c r="P484" s="260">
        <v>0</v>
      </c>
      <c r="Q484" s="165">
        <f t="shared" si="255"/>
        <v>0</v>
      </c>
      <c r="R484" s="165"/>
      <c r="S484" s="163"/>
      <c r="T484" s="163"/>
      <c r="U484" s="163"/>
      <c r="V484" s="163"/>
      <c r="W484" s="163"/>
      <c r="X484" s="165">
        <f t="shared" si="254"/>
        <v>0</v>
      </c>
      <c r="Y484" s="301"/>
      <c r="Z484" s="288"/>
      <c r="AB484" s="329"/>
    </row>
    <row r="485" spans="1:34" s="316" customFormat="1" ht="29.25" hidden="1" customHeight="1" x14ac:dyDescent="0.2">
      <c r="A485" s="148" t="s">
        <v>107</v>
      </c>
      <c r="B485" s="336"/>
      <c r="C485" s="297"/>
      <c r="D485" s="169" t="s">
        <v>458</v>
      </c>
      <c r="E485" s="298" t="s">
        <v>46</v>
      </c>
      <c r="F485" s="297"/>
      <c r="G485" s="297" t="s">
        <v>108</v>
      </c>
      <c r="H485" s="165"/>
      <c r="I485" s="165"/>
      <c r="J485" s="165"/>
      <c r="K485" s="301"/>
      <c r="L485" s="301"/>
      <c r="M485" s="301"/>
      <c r="N485" s="293"/>
      <c r="O485" s="165"/>
      <c r="P485" s="260">
        <v>0</v>
      </c>
      <c r="Q485" s="165">
        <f>R485+S485+T485+U485+V485</f>
        <v>0</v>
      </c>
      <c r="R485" s="165">
        <v>0</v>
      </c>
      <c r="S485" s="163"/>
      <c r="T485" s="163"/>
      <c r="U485" s="163"/>
      <c r="V485" s="163"/>
      <c r="W485" s="163"/>
      <c r="X485" s="165">
        <f t="shared" si="254"/>
        <v>0</v>
      </c>
      <c r="Y485" s="301"/>
      <c r="Z485" s="288"/>
      <c r="AB485" s="329"/>
    </row>
    <row r="486" spans="1:34" s="316" customFormat="1" ht="12.75" customHeight="1" x14ac:dyDescent="0.2">
      <c r="A486" s="121" t="s">
        <v>65</v>
      </c>
      <c r="B486" s="251" t="s">
        <v>130</v>
      </c>
      <c r="C486" s="89" t="s">
        <v>301</v>
      </c>
      <c r="D486" s="170" t="s">
        <v>458</v>
      </c>
      <c r="E486" s="123" t="s">
        <v>19</v>
      </c>
      <c r="F486" s="89" t="s">
        <v>66</v>
      </c>
      <c r="G486" s="89"/>
      <c r="H486" s="124">
        <f t="shared" ref="H486:N486" si="256">SUM(H487:H492)</f>
        <v>567721.09</v>
      </c>
      <c r="I486" s="124">
        <f t="shared" si="256"/>
        <v>63258</v>
      </c>
      <c r="J486" s="124">
        <f t="shared" si="256"/>
        <v>3258</v>
      </c>
      <c r="K486" s="359">
        <f t="shared" si="256"/>
        <v>0</v>
      </c>
      <c r="L486" s="359">
        <f t="shared" si="256"/>
        <v>0</v>
      </c>
      <c r="M486" s="359">
        <f t="shared" si="256"/>
        <v>60000</v>
      </c>
      <c r="N486" s="360">
        <f t="shared" si="256"/>
        <v>630979.09</v>
      </c>
      <c r="O486" s="124">
        <f>SUM(O487:O492)</f>
        <v>555721.09</v>
      </c>
      <c r="P486" s="258">
        <f>P487+P488+P489+P490+P491+P492+P493+P494</f>
        <v>94026.32</v>
      </c>
      <c r="Q486" s="258">
        <f t="shared" ref="Q486:V486" si="257">Q487+Q488+Q489+Q490+Q491+Q492+Q493+Q494</f>
        <v>3000</v>
      </c>
      <c r="R486" s="258">
        <f t="shared" si="257"/>
        <v>0</v>
      </c>
      <c r="S486" s="258">
        <f t="shared" si="257"/>
        <v>0</v>
      </c>
      <c r="T486" s="258">
        <f t="shared" si="257"/>
        <v>0</v>
      </c>
      <c r="U486" s="258">
        <f>U487+U488+U489+U490+U491+U492+U493+U494</f>
        <v>3000</v>
      </c>
      <c r="V486" s="258">
        <f t="shared" si="257"/>
        <v>0</v>
      </c>
      <c r="W486" s="258"/>
      <c r="X486" s="258">
        <f>X487+X488+X489+X490+X491+X492+X493+X494</f>
        <v>97026.32</v>
      </c>
      <c r="Y486" s="301"/>
      <c r="Z486" s="288"/>
      <c r="AB486" s="385"/>
    </row>
    <row r="487" spans="1:34" s="65" customFormat="1" ht="12.75" customHeight="1" x14ac:dyDescent="0.2">
      <c r="A487" s="80" t="s">
        <v>289</v>
      </c>
      <c r="B487" s="194"/>
      <c r="C487" s="30"/>
      <c r="D487" s="30" t="s">
        <v>458</v>
      </c>
      <c r="E487" s="62" t="s">
        <v>117</v>
      </c>
      <c r="F487" s="169" t="s">
        <v>494</v>
      </c>
      <c r="G487" s="169" t="s">
        <v>118</v>
      </c>
      <c r="H487" s="163">
        <f>505235-3397.63</f>
        <v>501837.37</v>
      </c>
      <c r="I487" s="165">
        <f>SUM(J487:M487)</f>
        <v>0</v>
      </c>
      <c r="J487" s="163">
        <v>0</v>
      </c>
      <c r="K487" s="292"/>
      <c r="L487" s="292"/>
      <c r="M487" s="292"/>
      <c r="N487" s="293">
        <f>H487+I487</f>
        <v>501837.37</v>
      </c>
      <c r="O487" s="163">
        <f>505235-3397.63</f>
        <v>501837.37</v>
      </c>
      <c r="P487" s="262">
        <v>89369</v>
      </c>
      <c r="Q487" s="163">
        <f>R487+S487+T487+U487+V487</f>
        <v>0</v>
      </c>
      <c r="R487" s="163"/>
      <c r="S487" s="163"/>
      <c r="T487" s="163"/>
      <c r="U487" s="163"/>
      <c r="V487" s="163"/>
      <c r="W487" s="163"/>
      <c r="X487" s="165">
        <f t="shared" ref="X487:X494" si="258">P487+Q487</f>
        <v>89369</v>
      </c>
      <c r="Y487" s="292"/>
      <c r="Z487" s="290"/>
      <c r="AA487" s="320"/>
      <c r="AB487" s="332"/>
      <c r="AC487" s="320"/>
      <c r="AD487" s="320"/>
      <c r="AE487" s="320"/>
      <c r="AF487" s="320"/>
      <c r="AG487" s="320"/>
      <c r="AH487" s="320"/>
    </row>
    <row r="488" spans="1:34" ht="26.25" customHeight="1" x14ac:dyDescent="0.2">
      <c r="A488" s="38" t="s">
        <v>318</v>
      </c>
      <c r="B488" s="39"/>
      <c r="C488" s="8"/>
      <c r="D488" s="30"/>
      <c r="E488" s="9" t="s">
        <v>120</v>
      </c>
      <c r="F488" s="297" t="s">
        <v>494</v>
      </c>
      <c r="G488" s="297" t="s">
        <v>118</v>
      </c>
      <c r="H488" s="165">
        <v>5883.72</v>
      </c>
      <c r="I488" s="165">
        <f>SUM(J488:M488)</f>
        <v>0</v>
      </c>
      <c r="J488" s="165">
        <v>0</v>
      </c>
      <c r="K488" s="301">
        <v>0</v>
      </c>
      <c r="L488" s="301">
        <v>0</v>
      </c>
      <c r="M488" s="301">
        <v>0</v>
      </c>
      <c r="N488" s="293">
        <f>H488+I488</f>
        <v>5883.72</v>
      </c>
      <c r="O488" s="165">
        <v>5883.72</v>
      </c>
      <c r="P488" s="260">
        <v>3500</v>
      </c>
      <c r="Q488" s="163">
        <f t="shared" ref="Q488:Q493" si="259">R488+S488+T488+U488+V488</f>
        <v>0</v>
      </c>
      <c r="R488" s="165"/>
      <c r="S488" s="163"/>
      <c r="T488" s="163"/>
      <c r="U488" s="163"/>
      <c r="V488" s="163"/>
      <c r="W488" s="163"/>
      <c r="X488" s="165">
        <f t="shared" si="258"/>
        <v>3500</v>
      </c>
      <c r="Y488" s="301"/>
      <c r="Z488" s="288"/>
      <c r="AA488" s="316"/>
      <c r="AB488" s="329"/>
      <c r="AC488" s="316"/>
      <c r="AD488" s="316"/>
      <c r="AE488" s="316"/>
      <c r="AF488" s="316"/>
      <c r="AG488" s="316"/>
      <c r="AH488" s="316"/>
    </row>
    <row r="489" spans="1:34" ht="26.25" customHeight="1" x14ac:dyDescent="0.2">
      <c r="A489" s="148" t="s">
        <v>319</v>
      </c>
      <c r="B489" s="39"/>
      <c r="C489" s="8"/>
      <c r="D489" s="30"/>
      <c r="E489" s="9" t="s">
        <v>123</v>
      </c>
      <c r="F489" s="297" t="s">
        <v>494</v>
      </c>
      <c r="G489" s="297" t="s">
        <v>118</v>
      </c>
      <c r="H489" s="165">
        <v>0</v>
      </c>
      <c r="I489" s="165">
        <f>SUM(J489:M489)</f>
        <v>3258</v>
      </c>
      <c r="J489" s="165">
        <v>3258</v>
      </c>
      <c r="K489" s="301">
        <v>0</v>
      </c>
      <c r="L489" s="301">
        <v>0</v>
      </c>
      <c r="M489" s="301">
        <v>0</v>
      </c>
      <c r="N489" s="293">
        <f>H489+I489</f>
        <v>3258</v>
      </c>
      <c r="O489" s="165">
        <v>0</v>
      </c>
      <c r="P489" s="260">
        <v>1069.55</v>
      </c>
      <c r="Q489" s="163">
        <f t="shared" si="259"/>
        <v>0</v>
      </c>
      <c r="R489" s="165"/>
      <c r="S489" s="163"/>
      <c r="T489" s="163"/>
      <c r="U489" s="163"/>
      <c r="V489" s="163"/>
      <c r="W489" s="163"/>
      <c r="X489" s="165">
        <f t="shared" si="258"/>
        <v>1069.55</v>
      </c>
      <c r="Y489" s="301"/>
      <c r="Z489" s="288"/>
      <c r="AA489" s="316"/>
      <c r="AB489" s="329"/>
      <c r="AC489" s="316"/>
      <c r="AD489" s="316"/>
      <c r="AE489" s="316"/>
      <c r="AF489" s="316"/>
      <c r="AG489" s="316"/>
      <c r="AH489" s="316"/>
    </row>
    <row r="490" spans="1:34" ht="26.25" customHeight="1" x14ac:dyDescent="0.2">
      <c r="A490" s="148" t="s">
        <v>320</v>
      </c>
      <c r="B490" s="39"/>
      <c r="C490" s="8"/>
      <c r="D490" s="30"/>
      <c r="E490" s="9" t="s">
        <v>123</v>
      </c>
      <c r="F490" s="297" t="s">
        <v>495</v>
      </c>
      <c r="G490" s="297" t="s">
        <v>121</v>
      </c>
      <c r="H490" s="165">
        <v>0</v>
      </c>
      <c r="I490" s="165">
        <f>SUM(J490:M490)</f>
        <v>60000</v>
      </c>
      <c r="J490" s="165"/>
      <c r="K490" s="301"/>
      <c r="L490" s="301"/>
      <c r="M490" s="301">
        <v>60000</v>
      </c>
      <c r="N490" s="293">
        <f>H490+I490</f>
        <v>60000</v>
      </c>
      <c r="O490" s="165">
        <v>0</v>
      </c>
      <c r="P490" s="260">
        <v>87.77</v>
      </c>
      <c r="Q490" s="163">
        <f t="shared" si="259"/>
        <v>0</v>
      </c>
      <c r="R490" s="165"/>
      <c r="S490" s="163"/>
      <c r="T490" s="163"/>
      <c r="U490" s="163"/>
      <c r="V490" s="163"/>
      <c r="W490" s="163"/>
      <c r="X490" s="165">
        <f t="shared" si="258"/>
        <v>87.77</v>
      </c>
      <c r="Y490" s="301"/>
      <c r="Z490" s="288"/>
      <c r="AA490" s="316"/>
      <c r="AB490" s="329"/>
      <c r="AC490" s="316"/>
      <c r="AD490" s="316"/>
      <c r="AE490" s="316"/>
      <c r="AF490" s="316"/>
      <c r="AG490" s="316"/>
      <c r="AH490" s="316"/>
    </row>
    <row r="491" spans="1:34" ht="26.25" hidden="1" customHeight="1" x14ac:dyDescent="0.2">
      <c r="A491" s="148" t="s">
        <v>421</v>
      </c>
      <c r="B491" s="39"/>
      <c r="C491" s="8"/>
      <c r="D491" s="30"/>
      <c r="E491" s="9" t="s">
        <v>162</v>
      </c>
      <c r="F491" s="297"/>
      <c r="G491" s="297" t="s">
        <v>163</v>
      </c>
      <c r="H491" s="165"/>
      <c r="I491" s="165"/>
      <c r="J491" s="165"/>
      <c r="K491" s="301"/>
      <c r="L491" s="301"/>
      <c r="M491" s="301"/>
      <c r="N491" s="293"/>
      <c r="O491" s="165"/>
      <c r="P491" s="260">
        <v>0</v>
      </c>
      <c r="Q491" s="163">
        <f t="shared" si="259"/>
        <v>0</v>
      </c>
      <c r="R491" s="165">
        <v>0</v>
      </c>
      <c r="S491" s="163"/>
      <c r="T491" s="163"/>
      <c r="U491" s="163"/>
      <c r="V491" s="163"/>
      <c r="W491" s="163"/>
      <c r="X491" s="165">
        <f t="shared" si="258"/>
        <v>0</v>
      </c>
      <c r="Y491" s="301"/>
      <c r="Z491" s="288"/>
      <c r="AA491" s="316"/>
      <c r="AB491" s="329"/>
      <c r="AC491" s="316"/>
      <c r="AD491" s="316"/>
      <c r="AE491" s="316"/>
      <c r="AF491" s="316"/>
      <c r="AG491" s="316"/>
      <c r="AH491" s="316"/>
    </row>
    <row r="492" spans="1:34" ht="42" customHeight="1" x14ac:dyDescent="0.2">
      <c r="A492" s="105" t="s">
        <v>499</v>
      </c>
      <c r="B492" s="39"/>
      <c r="C492" s="8"/>
      <c r="D492" s="30"/>
      <c r="E492" s="9" t="s">
        <v>162</v>
      </c>
      <c r="F492" s="297" t="s">
        <v>496</v>
      </c>
      <c r="G492" s="297" t="s">
        <v>163</v>
      </c>
      <c r="H492" s="165">
        <v>60000</v>
      </c>
      <c r="I492" s="165">
        <f>SUM(J492:M492)</f>
        <v>0</v>
      </c>
      <c r="J492" s="165"/>
      <c r="K492" s="301"/>
      <c r="L492" s="301"/>
      <c r="M492" s="301"/>
      <c r="N492" s="293">
        <f>H492+I492</f>
        <v>60000</v>
      </c>
      <c r="O492" s="165">
        <f>60000*80%</f>
        <v>48000</v>
      </c>
      <c r="P492" s="260">
        <v>0</v>
      </c>
      <c r="Q492" s="163">
        <f t="shared" si="259"/>
        <v>3000</v>
      </c>
      <c r="R492" s="165">
        <v>0</v>
      </c>
      <c r="S492" s="163">
        <v>0</v>
      </c>
      <c r="T492" s="163"/>
      <c r="U492" s="163">
        <v>3000</v>
      </c>
      <c r="V492" s="163"/>
      <c r="W492" s="163"/>
      <c r="X492" s="165">
        <f t="shared" si="258"/>
        <v>3000</v>
      </c>
      <c r="Y492" s="301" t="s">
        <v>595</v>
      </c>
      <c r="Z492" s="288"/>
      <c r="AA492" s="288"/>
      <c r="AB492" s="329"/>
      <c r="AC492" s="316"/>
      <c r="AD492" s="316"/>
      <c r="AE492" s="316"/>
      <c r="AF492" s="316"/>
      <c r="AG492" s="316"/>
      <c r="AH492" s="316"/>
    </row>
    <row r="493" spans="1:34" ht="26.25" hidden="1" customHeight="1" x14ac:dyDescent="0.2">
      <c r="A493" s="38" t="s">
        <v>315</v>
      </c>
      <c r="B493" s="39"/>
      <c r="C493" s="8"/>
      <c r="D493" s="30" t="s">
        <v>459</v>
      </c>
      <c r="E493" s="9" t="s">
        <v>46</v>
      </c>
      <c r="F493" s="297" t="s">
        <v>556</v>
      </c>
      <c r="G493" s="297" t="s">
        <v>165</v>
      </c>
      <c r="H493" s="165"/>
      <c r="I493" s="165"/>
      <c r="J493" s="165"/>
      <c r="K493" s="301"/>
      <c r="L493" s="301"/>
      <c r="M493" s="301"/>
      <c r="N493" s="293"/>
      <c r="O493" s="165"/>
      <c r="P493" s="260">
        <v>0</v>
      </c>
      <c r="Q493" s="163">
        <f t="shared" si="259"/>
        <v>0</v>
      </c>
      <c r="R493" s="165">
        <v>0</v>
      </c>
      <c r="S493" s="163"/>
      <c r="T493" s="163"/>
      <c r="U493" s="163">
        <v>0</v>
      </c>
      <c r="V493" s="163"/>
      <c r="W493" s="163"/>
      <c r="X493" s="165">
        <f t="shared" si="258"/>
        <v>0</v>
      </c>
      <c r="Y493" s="301" t="s">
        <v>595</v>
      </c>
      <c r="Z493" s="288"/>
      <c r="AA493" s="316"/>
      <c r="AB493" s="329"/>
      <c r="AC493" s="316"/>
      <c r="AD493" s="316"/>
      <c r="AE493" s="316"/>
      <c r="AF493" s="316"/>
      <c r="AG493" s="316"/>
      <c r="AH493" s="316"/>
    </row>
    <row r="494" spans="1:34" ht="26.25" hidden="1" customHeight="1" x14ac:dyDescent="0.2">
      <c r="A494" s="38" t="s">
        <v>315</v>
      </c>
      <c r="B494" s="39"/>
      <c r="C494" s="8"/>
      <c r="D494" s="30" t="s">
        <v>458</v>
      </c>
      <c r="E494" s="9" t="s">
        <v>46</v>
      </c>
      <c r="F494" s="297" t="s">
        <v>493</v>
      </c>
      <c r="G494" s="297" t="s">
        <v>69</v>
      </c>
      <c r="H494" s="165"/>
      <c r="I494" s="165"/>
      <c r="J494" s="165"/>
      <c r="K494" s="301"/>
      <c r="L494" s="301"/>
      <c r="M494" s="301"/>
      <c r="N494" s="293"/>
      <c r="O494" s="165"/>
      <c r="P494" s="260">
        <v>0</v>
      </c>
      <c r="Q494" s="163">
        <f>R494+S494+T494+U494+V494</f>
        <v>0</v>
      </c>
      <c r="R494" s="165">
        <v>0</v>
      </c>
      <c r="S494" s="163"/>
      <c r="T494" s="163"/>
      <c r="U494" s="163"/>
      <c r="V494" s="163"/>
      <c r="W494" s="163"/>
      <c r="X494" s="165">
        <f t="shared" si="258"/>
        <v>0</v>
      </c>
      <c r="Y494" s="301"/>
      <c r="Z494" s="288"/>
      <c r="AA494" s="316"/>
      <c r="AB494" s="329"/>
      <c r="AC494" s="316"/>
      <c r="AD494" s="316"/>
      <c r="AE494" s="316"/>
      <c r="AF494" s="316"/>
      <c r="AG494" s="316"/>
      <c r="AH494" s="316"/>
    </row>
    <row r="495" spans="1:34" s="316" customFormat="1" ht="12.75" customHeight="1" x14ac:dyDescent="0.2">
      <c r="A495" s="121" t="s">
        <v>70</v>
      </c>
      <c r="B495" s="251" t="s">
        <v>130</v>
      </c>
      <c r="C495" s="89" t="s">
        <v>301</v>
      </c>
      <c r="D495" s="170" t="s">
        <v>18</v>
      </c>
      <c r="E495" s="123" t="s">
        <v>46</v>
      </c>
      <c r="F495" s="89" t="s">
        <v>71</v>
      </c>
      <c r="G495" s="89"/>
      <c r="H495" s="124">
        <f t="shared" ref="H495:V495" si="260">H496+H504</f>
        <v>440000</v>
      </c>
      <c r="I495" s="124">
        <f t="shared" si="260"/>
        <v>119434</v>
      </c>
      <c r="J495" s="124">
        <f t="shared" si="260"/>
        <v>0</v>
      </c>
      <c r="K495" s="359">
        <f t="shared" si="260"/>
        <v>0</v>
      </c>
      <c r="L495" s="359">
        <f t="shared" si="260"/>
        <v>0</v>
      </c>
      <c r="M495" s="359">
        <f t="shared" si="260"/>
        <v>119434</v>
      </c>
      <c r="N495" s="360">
        <f t="shared" si="260"/>
        <v>559434</v>
      </c>
      <c r="O495" s="124">
        <f t="shared" si="260"/>
        <v>392000</v>
      </c>
      <c r="P495" s="258">
        <f t="shared" si="260"/>
        <v>196048.63</v>
      </c>
      <c r="Q495" s="258">
        <f t="shared" si="260"/>
        <v>116124.06</v>
      </c>
      <c r="R495" s="258">
        <f t="shared" si="260"/>
        <v>-2243.3200000000002</v>
      </c>
      <c r="S495" s="258">
        <f t="shared" si="260"/>
        <v>0</v>
      </c>
      <c r="T495" s="258">
        <f t="shared" si="260"/>
        <v>0</v>
      </c>
      <c r="U495" s="258">
        <f t="shared" si="260"/>
        <v>118367.37999999999</v>
      </c>
      <c r="V495" s="258">
        <f t="shared" si="260"/>
        <v>0</v>
      </c>
      <c r="W495" s="258"/>
      <c r="X495" s="258">
        <f>X496+X504</f>
        <v>312172.68999999994</v>
      </c>
      <c r="Y495" s="301"/>
      <c r="Z495" s="288"/>
      <c r="AB495" s="385"/>
    </row>
    <row r="496" spans="1:34" hidden="1" x14ac:dyDescent="0.2">
      <c r="A496" s="6" t="s">
        <v>72</v>
      </c>
      <c r="B496" s="138" t="s">
        <v>130</v>
      </c>
      <c r="C496" s="8" t="s">
        <v>301</v>
      </c>
      <c r="D496" s="30" t="s">
        <v>458</v>
      </c>
      <c r="E496" s="9" t="s">
        <v>19</v>
      </c>
      <c r="F496" s="297" t="s">
        <v>73</v>
      </c>
      <c r="G496" s="297"/>
      <c r="H496" s="163">
        <f t="shared" ref="H496:O496" si="261">SUM(H497:H502)</f>
        <v>250000</v>
      </c>
      <c r="I496" s="163">
        <f t="shared" si="261"/>
        <v>0</v>
      </c>
      <c r="J496" s="163">
        <f t="shared" si="261"/>
        <v>0</v>
      </c>
      <c r="K496" s="292">
        <f t="shared" si="261"/>
        <v>0</v>
      </c>
      <c r="L496" s="292">
        <f t="shared" si="261"/>
        <v>0</v>
      </c>
      <c r="M496" s="292">
        <f t="shared" si="261"/>
        <v>0</v>
      </c>
      <c r="N496" s="292">
        <f t="shared" si="261"/>
        <v>250000</v>
      </c>
      <c r="O496" s="163">
        <f t="shared" si="261"/>
        <v>240000</v>
      </c>
      <c r="P496" s="262">
        <f t="shared" ref="P496:V496" si="262">SUM(P497:P503)</f>
        <v>0</v>
      </c>
      <c r="Q496" s="262">
        <f t="shared" si="262"/>
        <v>0</v>
      </c>
      <c r="R496" s="262">
        <f t="shared" si="262"/>
        <v>0</v>
      </c>
      <c r="S496" s="262">
        <f t="shared" si="262"/>
        <v>0</v>
      </c>
      <c r="T496" s="262">
        <f t="shared" si="262"/>
        <v>0</v>
      </c>
      <c r="U496" s="262">
        <f t="shared" si="262"/>
        <v>0</v>
      </c>
      <c r="V496" s="262">
        <f t="shared" si="262"/>
        <v>0</v>
      </c>
      <c r="W496" s="262"/>
      <c r="X496" s="262">
        <f>SUM(X497:X503)</f>
        <v>0</v>
      </c>
      <c r="Y496" s="301"/>
      <c r="Z496" s="288"/>
      <c r="AA496" s="316"/>
      <c r="AB496" s="398"/>
      <c r="AC496" s="316"/>
      <c r="AD496" s="316"/>
      <c r="AE496" s="316"/>
      <c r="AF496" s="316"/>
      <c r="AG496" s="316"/>
      <c r="AH496" s="316"/>
    </row>
    <row r="497" spans="1:34" ht="44.25" hidden="1" customHeight="1" x14ac:dyDescent="0.2">
      <c r="A497" s="40" t="s">
        <v>322</v>
      </c>
      <c r="B497" s="41"/>
      <c r="C497" s="8"/>
      <c r="D497" s="30" t="s">
        <v>458</v>
      </c>
      <c r="E497" s="9" t="s">
        <v>46</v>
      </c>
      <c r="F497" s="297"/>
      <c r="G497" s="297" t="s">
        <v>75</v>
      </c>
      <c r="H497" s="165">
        <v>50000</v>
      </c>
      <c r="I497" s="165">
        <f>SUM(J497:M497)</f>
        <v>0</v>
      </c>
      <c r="J497" s="165"/>
      <c r="K497" s="301"/>
      <c r="L497" s="301">
        <v>0</v>
      </c>
      <c r="M497" s="301"/>
      <c r="N497" s="293">
        <f>H497+I497</f>
        <v>50000</v>
      </c>
      <c r="O497" s="165">
        <f>50000*80%</f>
        <v>40000</v>
      </c>
      <c r="P497" s="260">
        <v>0</v>
      </c>
      <c r="Q497" s="165">
        <f>R497+S497+T497+U497+V497</f>
        <v>0</v>
      </c>
      <c r="R497" s="165">
        <v>0</v>
      </c>
      <c r="S497" s="163">
        <v>0</v>
      </c>
      <c r="T497" s="163"/>
      <c r="U497" s="163"/>
      <c r="V497" s="163"/>
      <c r="W497" s="163"/>
      <c r="X497" s="165">
        <f>P497+Q497</f>
        <v>0</v>
      </c>
      <c r="Y497" s="301"/>
      <c r="Z497" s="288"/>
      <c r="AA497" s="316"/>
      <c r="AB497" s="329"/>
      <c r="AC497" s="316"/>
      <c r="AD497" s="316"/>
      <c r="AE497" s="316"/>
      <c r="AF497" s="316"/>
      <c r="AG497" s="316"/>
      <c r="AH497" s="316"/>
    </row>
    <row r="498" spans="1:34" ht="44.25" hidden="1" customHeight="1" x14ac:dyDescent="0.2">
      <c r="A498" s="40" t="s">
        <v>322</v>
      </c>
      <c r="B498" s="41"/>
      <c r="C498" s="8"/>
      <c r="D498" s="30" t="s">
        <v>458</v>
      </c>
      <c r="E498" s="9" t="s">
        <v>44</v>
      </c>
      <c r="F498" s="297"/>
      <c r="G498" s="297" t="s">
        <v>75</v>
      </c>
      <c r="H498" s="165"/>
      <c r="I498" s="165"/>
      <c r="J498" s="165"/>
      <c r="K498" s="301"/>
      <c r="L498" s="301"/>
      <c r="M498" s="301"/>
      <c r="N498" s="293"/>
      <c r="O498" s="165"/>
      <c r="P498" s="260">
        <v>0</v>
      </c>
      <c r="Q498" s="165">
        <f t="shared" ref="Q498:Q499" si="263">R498+S498+T498+U498+V498</f>
        <v>0</v>
      </c>
      <c r="R498" s="165"/>
      <c r="S498" s="163"/>
      <c r="T498" s="163"/>
      <c r="U498" s="163"/>
      <c r="V498" s="163"/>
      <c r="W498" s="163"/>
      <c r="X498" s="165">
        <f t="shared" ref="X498:X499" si="264">P498+Q498</f>
        <v>0</v>
      </c>
      <c r="Y498" s="301"/>
      <c r="Z498" s="288"/>
      <c r="AA498" s="316"/>
      <c r="AB498" s="329"/>
      <c r="AC498" s="316"/>
      <c r="AD498" s="316"/>
      <c r="AE498" s="316"/>
      <c r="AF498" s="316"/>
      <c r="AG498" s="316"/>
      <c r="AH498" s="316"/>
    </row>
    <row r="499" spans="1:34" ht="44.25" hidden="1" customHeight="1" x14ac:dyDescent="0.2">
      <c r="A499" s="340"/>
      <c r="B499" s="341"/>
      <c r="C499" s="342"/>
      <c r="D499" s="342" t="s">
        <v>513</v>
      </c>
      <c r="E499" s="343" t="s">
        <v>44</v>
      </c>
      <c r="F499" s="297" t="s">
        <v>541</v>
      </c>
      <c r="G499" s="297" t="s">
        <v>542</v>
      </c>
      <c r="H499" s="165"/>
      <c r="I499" s="165"/>
      <c r="J499" s="165"/>
      <c r="K499" s="301"/>
      <c r="L499" s="301"/>
      <c r="M499" s="301"/>
      <c r="N499" s="293"/>
      <c r="O499" s="165"/>
      <c r="P499" s="260"/>
      <c r="Q499" s="165">
        <f t="shared" si="263"/>
        <v>0</v>
      </c>
      <c r="R499" s="165">
        <v>0</v>
      </c>
      <c r="S499" s="163"/>
      <c r="T499" s="163"/>
      <c r="U499" s="163"/>
      <c r="V499" s="163"/>
      <c r="W499" s="163"/>
      <c r="X499" s="165">
        <f t="shared" si="264"/>
        <v>0</v>
      </c>
      <c r="Y499" s="301"/>
      <c r="Z499" s="288"/>
      <c r="AA499" s="316"/>
      <c r="AB499" s="329"/>
      <c r="AC499" s="316"/>
      <c r="AD499" s="316"/>
      <c r="AE499" s="316"/>
      <c r="AF499" s="316"/>
      <c r="AG499" s="316"/>
      <c r="AH499" s="316"/>
    </row>
    <row r="500" spans="1:34" ht="44.25" hidden="1" customHeight="1" x14ac:dyDescent="0.2">
      <c r="A500" s="340"/>
      <c r="B500" s="341"/>
      <c r="C500" s="342"/>
      <c r="D500" s="342" t="s">
        <v>513</v>
      </c>
      <c r="E500" s="343" t="s">
        <v>46</v>
      </c>
      <c r="F500" s="297" t="s">
        <v>541</v>
      </c>
      <c r="G500" s="297" t="s">
        <v>542</v>
      </c>
      <c r="H500" s="165"/>
      <c r="I500" s="165"/>
      <c r="J500" s="165"/>
      <c r="K500" s="301"/>
      <c r="L500" s="301"/>
      <c r="M500" s="301"/>
      <c r="N500" s="293"/>
      <c r="O500" s="165"/>
      <c r="P500" s="260"/>
      <c r="Q500" s="165">
        <f t="shared" ref="Q500" si="265">R500+S500+T500+U500+V500</f>
        <v>0</v>
      </c>
      <c r="R500" s="165">
        <v>0</v>
      </c>
      <c r="S500" s="165"/>
      <c r="T500" s="165"/>
      <c r="U500" s="165"/>
      <c r="V500" s="165"/>
      <c r="W500" s="165"/>
      <c r="X500" s="165">
        <f>P500+Q500</f>
        <v>0</v>
      </c>
      <c r="Y500" s="301"/>
      <c r="Z500" s="288"/>
      <c r="AA500" s="316"/>
      <c r="AB500" s="329"/>
      <c r="AC500" s="316"/>
      <c r="AD500" s="316"/>
      <c r="AE500" s="316"/>
      <c r="AF500" s="316"/>
      <c r="AG500" s="316"/>
      <c r="AH500" s="316"/>
    </row>
    <row r="501" spans="1:34" ht="44.25" hidden="1" customHeight="1" x14ac:dyDescent="0.2">
      <c r="A501" s="40" t="s">
        <v>322</v>
      </c>
      <c r="B501" s="41"/>
      <c r="C501" s="8"/>
      <c r="D501" s="30" t="s">
        <v>513</v>
      </c>
      <c r="E501" s="9" t="s">
        <v>46</v>
      </c>
      <c r="F501" s="297"/>
      <c r="G501" s="345" t="s">
        <v>75</v>
      </c>
      <c r="H501" s="165">
        <v>100000</v>
      </c>
      <c r="I501" s="165">
        <f>SUM(J501:M501)</f>
        <v>0</v>
      </c>
      <c r="J501" s="165">
        <v>0</v>
      </c>
      <c r="K501" s="301">
        <v>0</v>
      </c>
      <c r="L501" s="301">
        <v>0</v>
      </c>
      <c r="M501" s="301">
        <v>0</v>
      </c>
      <c r="N501" s="293">
        <f>H501+I501</f>
        <v>100000</v>
      </c>
      <c r="O501" s="165">
        <v>100000</v>
      </c>
      <c r="P501" s="260">
        <v>0</v>
      </c>
      <c r="Q501" s="165">
        <f t="shared" ref="Q501:Q502" si="266">R501+S501+T501+U501+V501</f>
        <v>0</v>
      </c>
      <c r="R501" s="165">
        <v>0</v>
      </c>
      <c r="S501" s="163"/>
      <c r="T501" s="163"/>
      <c r="U501" s="163"/>
      <c r="V501" s="163"/>
      <c r="W501" s="163"/>
      <c r="X501" s="165">
        <f>P501+Q501</f>
        <v>0</v>
      </c>
      <c r="Y501" s="301"/>
      <c r="Z501" s="288"/>
      <c r="AA501" s="316"/>
      <c r="AB501" s="329"/>
      <c r="AC501" s="316"/>
      <c r="AD501" s="316"/>
      <c r="AE501" s="316"/>
      <c r="AF501" s="316"/>
      <c r="AG501" s="316"/>
      <c r="AH501" s="316"/>
    </row>
    <row r="502" spans="1:34" s="339" customFormat="1" ht="44.25" hidden="1" customHeight="1" x14ac:dyDescent="0.2">
      <c r="A502" s="164" t="s">
        <v>322</v>
      </c>
      <c r="B502" s="344"/>
      <c r="C502" s="297"/>
      <c r="D502" s="30" t="s">
        <v>458</v>
      </c>
      <c r="E502" s="298" t="s">
        <v>44</v>
      </c>
      <c r="F502" s="297"/>
      <c r="G502" s="345" t="s">
        <v>75</v>
      </c>
      <c r="H502" s="165">
        <v>100000</v>
      </c>
      <c r="I502" s="165">
        <f>SUM(J502:M502)</f>
        <v>0</v>
      </c>
      <c r="J502" s="165">
        <v>0</v>
      </c>
      <c r="K502" s="301">
        <v>0</v>
      </c>
      <c r="L502" s="301">
        <v>0</v>
      </c>
      <c r="M502" s="301">
        <v>0</v>
      </c>
      <c r="N502" s="293">
        <f>H502+I502</f>
        <v>100000</v>
      </c>
      <c r="O502" s="165">
        <v>100000</v>
      </c>
      <c r="P502" s="260">
        <v>0</v>
      </c>
      <c r="Q502" s="165">
        <f t="shared" si="266"/>
        <v>0</v>
      </c>
      <c r="R502" s="165">
        <v>0</v>
      </c>
      <c r="S502" s="163"/>
      <c r="T502" s="163"/>
      <c r="U502" s="163"/>
      <c r="V502" s="163"/>
      <c r="W502" s="163"/>
      <c r="X502" s="165">
        <f>P502+Q502</f>
        <v>0</v>
      </c>
      <c r="Y502" s="301"/>
      <c r="Z502" s="288"/>
      <c r="AA502" s="316"/>
      <c r="AB502" s="329"/>
      <c r="AC502" s="316"/>
      <c r="AD502" s="316"/>
      <c r="AE502" s="316"/>
      <c r="AF502" s="316"/>
      <c r="AG502" s="316"/>
      <c r="AH502" s="316"/>
    </row>
    <row r="503" spans="1:34" s="339" customFormat="1" ht="44.25" hidden="1" customHeight="1" x14ac:dyDescent="0.2">
      <c r="A503" s="164" t="s">
        <v>322</v>
      </c>
      <c r="B503" s="344"/>
      <c r="C503" s="297"/>
      <c r="D503" s="297" t="s">
        <v>513</v>
      </c>
      <c r="E503" s="298" t="s">
        <v>46</v>
      </c>
      <c r="F503" s="297"/>
      <c r="G503" s="345" t="s">
        <v>507</v>
      </c>
      <c r="H503" s="165">
        <v>100000</v>
      </c>
      <c r="I503" s="165">
        <f>SUM(J503:M503)</f>
        <v>0</v>
      </c>
      <c r="J503" s="165">
        <v>0</v>
      </c>
      <c r="K503" s="301">
        <v>0</v>
      </c>
      <c r="L503" s="301">
        <v>0</v>
      </c>
      <c r="M503" s="301">
        <v>0</v>
      </c>
      <c r="N503" s="293">
        <f>H503+I503</f>
        <v>100000</v>
      </c>
      <c r="O503" s="165">
        <v>100000</v>
      </c>
      <c r="P503" s="260">
        <v>0</v>
      </c>
      <c r="Q503" s="165">
        <f>R503+S503+T503+U503+V503</f>
        <v>0</v>
      </c>
      <c r="R503" s="165"/>
      <c r="S503" s="163"/>
      <c r="T503" s="163"/>
      <c r="U503" s="163">
        <v>0</v>
      </c>
      <c r="V503" s="163"/>
      <c r="W503" s="163"/>
      <c r="X503" s="165">
        <f>P503+Q503</f>
        <v>0</v>
      </c>
      <c r="Y503" s="301"/>
      <c r="Z503" s="288"/>
      <c r="AA503" s="316"/>
      <c r="AB503" s="329"/>
      <c r="AC503" s="316"/>
      <c r="AD503" s="316"/>
      <c r="AE503" s="316"/>
      <c r="AF503" s="316"/>
      <c r="AG503" s="316"/>
      <c r="AH503" s="316"/>
    </row>
    <row r="504" spans="1:34" s="316" customFormat="1" ht="15.75" customHeight="1" x14ac:dyDescent="0.2">
      <c r="A504" s="53" t="s">
        <v>76</v>
      </c>
      <c r="B504" s="296" t="s">
        <v>130</v>
      </c>
      <c r="C504" s="297" t="s">
        <v>301</v>
      </c>
      <c r="D504" s="169" t="s">
        <v>458</v>
      </c>
      <c r="E504" s="298" t="s">
        <v>19</v>
      </c>
      <c r="F504" s="297" t="s">
        <v>77</v>
      </c>
      <c r="G504" s="297"/>
      <c r="H504" s="163">
        <f t="shared" ref="H504:N504" si="267">SUM(H506:H515)</f>
        <v>190000</v>
      </c>
      <c r="I504" s="124">
        <f t="shared" si="267"/>
        <v>119434</v>
      </c>
      <c r="J504" s="124">
        <f t="shared" si="267"/>
        <v>0</v>
      </c>
      <c r="K504" s="359">
        <f t="shared" si="267"/>
        <v>0</v>
      </c>
      <c r="L504" s="359">
        <f t="shared" si="267"/>
        <v>0</v>
      </c>
      <c r="M504" s="359">
        <f t="shared" si="267"/>
        <v>119434</v>
      </c>
      <c r="N504" s="359">
        <f t="shared" si="267"/>
        <v>309434</v>
      </c>
      <c r="O504" s="163">
        <f>SUM(O506:O515)</f>
        <v>152000</v>
      </c>
      <c r="P504" s="262">
        <f>SUM(P505:P518)</f>
        <v>196048.63</v>
      </c>
      <c r="Q504" s="262">
        <f t="shared" ref="Q504:W504" si="268">SUM(Q505:Q518)</f>
        <v>116124.06</v>
      </c>
      <c r="R504" s="262">
        <f t="shared" si="268"/>
        <v>-2243.3200000000002</v>
      </c>
      <c r="S504" s="262">
        <f t="shared" si="268"/>
        <v>0</v>
      </c>
      <c r="T504" s="262">
        <f t="shared" si="268"/>
        <v>0</v>
      </c>
      <c r="U504" s="262">
        <f t="shared" si="268"/>
        <v>118367.37999999999</v>
      </c>
      <c r="V504" s="262">
        <f t="shared" si="268"/>
        <v>0</v>
      </c>
      <c r="W504" s="262">
        <f t="shared" si="268"/>
        <v>0</v>
      </c>
      <c r="X504" s="262">
        <f>SUM(X505:X518)</f>
        <v>312172.68999999994</v>
      </c>
      <c r="Y504" s="301"/>
      <c r="Z504" s="288"/>
      <c r="AB504" s="398"/>
    </row>
    <row r="505" spans="1:34" s="316" customFormat="1" ht="15.75" customHeight="1" x14ac:dyDescent="0.2">
      <c r="A505" s="53" t="s">
        <v>76</v>
      </c>
      <c r="B505" s="296"/>
      <c r="C505" s="297"/>
      <c r="D505" s="169"/>
      <c r="E505" s="298" t="s">
        <v>46</v>
      </c>
      <c r="F505" s="297" t="s">
        <v>557</v>
      </c>
      <c r="G505" s="297" t="s">
        <v>262</v>
      </c>
      <c r="H505" s="163"/>
      <c r="I505" s="124"/>
      <c r="J505" s="124"/>
      <c r="K505" s="359"/>
      <c r="L505" s="359"/>
      <c r="M505" s="359"/>
      <c r="N505" s="361"/>
      <c r="O505" s="163"/>
      <c r="P505" s="262">
        <v>9102.75</v>
      </c>
      <c r="Q505" s="163">
        <f>R505+S505+T505+U505+V505</f>
        <v>0</v>
      </c>
      <c r="R505" s="262">
        <v>0</v>
      </c>
      <c r="S505" s="262">
        <v>0</v>
      </c>
      <c r="T505" s="262"/>
      <c r="U505" s="262"/>
      <c r="V505" s="262"/>
      <c r="W505" s="262"/>
      <c r="X505" s="165">
        <f t="shared" ref="X505:X511" si="269">P505+Q505</f>
        <v>9102.75</v>
      </c>
      <c r="Y505" s="301" t="s">
        <v>595</v>
      </c>
      <c r="Z505" s="288"/>
      <c r="AB505" s="398"/>
    </row>
    <row r="506" spans="1:34" ht="15.75" customHeight="1" x14ac:dyDescent="0.2">
      <c r="A506" s="6" t="s">
        <v>76</v>
      </c>
      <c r="B506" s="138"/>
      <c r="C506" s="8"/>
      <c r="D506" s="30"/>
      <c r="E506" s="9" t="s">
        <v>46</v>
      </c>
      <c r="F506" s="297" t="s">
        <v>565</v>
      </c>
      <c r="G506" s="297" t="s">
        <v>324</v>
      </c>
      <c r="H506" s="163">
        <v>50000</v>
      </c>
      <c r="I506" s="165">
        <f t="shared" ref="I506:I515" si="270">SUM(J506:M506)</f>
        <v>0</v>
      </c>
      <c r="J506" s="163">
        <v>0</v>
      </c>
      <c r="K506" s="292">
        <v>0</v>
      </c>
      <c r="L506" s="292">
        <v>0</v>
      </c>
      <c r="M506" s="292">
        <v>0</v>
      </c>
      <c r="N506" s="293">
        <f t="shared" ref="N506:N515" si="271">H506+I506</f>
        <v>50000</v>
      </c>
      <c r="O506" s="163">
        <f>50000*80%</f>
        <v>40000</v>
      </c>
      <c r="P506" s="262">
        <v>0</v>
      </c>
      <c r="Q506" s="163">
        <f t="shared" ref="Q506:Q514" si="272">R506+S506+T506+U506+V506</f>
        <v>54066.21</v>
      </c>
      <c r="R506" s="163">
        <v>690</v>
      </c>
      <c r="S506" s="163">
        <v>0</v>
      </c>
      <c r="T506" s="163"/>
      <c r="U506" s="163">
        <v>53376.21</v>
      </c>
      <c r="V506" s="163"/>
      <c r="W506" s="163"/>
      <c r="X506" s="165">
        <f t="shared" si="269"/>
        <v>54066.21</v>
      </c>
      <c r="Y506" s="301"/>
      <c r="Z506" s="288"/>
      <c r="AA506" s="316"/>
      <c r="AB506" s="332"/>
      <c r="AC506" s="316"/>
      <c r="AD506" s="316"/>
      <c r="AE506" s="316"/>
      <c r="AF506" s="316"/>
      <c r="AG506" s="316"/>
      <c r="AH506" s="316"/>
    </row>
    <row r="507" spans="1:34" s="316" customFormat="1" ht="15.75" customHeight="1" x14ac:dyDescent="0.2">
      <c r="A507" s="53" t="s">
        <v>76</v>
      </c>
      <c r="B507" s="296"/>
      <c r="C507" s="297"/>
      <c r="D507" s="169" t="s">
        <v>460</v>
      </c>
      <c r="E507" s="298" t="s">
        <v>46</v>
      </c>
      <c r="F507" s="297"/>
      <c r="G507" s="297" t="s">
        <v>324</v>
      </c>
      <c r="H507" s="163">
        <v>0</v>
      </c>
      <c r="I507" s="165">
        <f t="shared" si="270"/>
        <v>100000</v>
      </c>
      <c r="J507" s="163"/>
      <c r="K507" s="292"/>
      <c r="L507" s="292"/>
      <c r="M507" s="292">
        <v>100000</v>
      </c>
      <c r="N507" s="293">
        <f t="shared" si="271"/>
        <v>100000</v>
      </c>
      <c r="O507" s="163">
        <v>0</v>
      </c>
      <c r="P507" s="262">
        <v>0</v>
      </c>
      <c r="Q507" s="163">
        <f t="shared" si="272"/>
        <v>1000</v>
      </c>
      <c r="R507" s="163">
        <v>1000</v>
      </c>
      <c r="S507" s="163"/>
      <c r="T507" s="163"/>
      <c r="U507" s="163"/>
      <c r="V507" s="163"/>
      <c r="W507" s="163"/>
      <c r="X507" s="165">
        <f t="shared" si="269"/>
        <v>1000</v>
      </c>
      <c r="Y507" s="301"/>
      <c r="Z507" s="288"/>
      <c r="AB507" s="332"/>
    </row>
    <row r="508" spans="1:34" ht="18.75" customHeight="1" x14ac:dyDescent="0.2">
      <c r="A508" s="6" t="s">
        <v>133</v>
      </c>
      <c r="B508" s="138"/>
      <c r="C508" s="8"/>
      <c r="D508" s="30"/>
      <c r="E508" s="9" t="s">
        <v>46</v>
      </c>
      <c r="F508" s="297" t="s">
        <v>631</v>
      </c>
      <c r="G508" s="297" t="s">
        <v>126</v>
      </c>
      <c r="H508" s="165">
        <v>0</v>
      </c>
      <c r="I508" s="165">
        <f t="shared" si="270"/>
        <v>0</v>
      </c>
      <c r="J508" s="165"/>
      <c r="K508" s="301"/>
      <c r="L508" s="301"/>
      <c r="M508" s="301"/>
      <c r="N508" s="293">
        <f t="shared" si="271"/>
        <v>0</v>
      </c>
      <c r="O508" s="165">
        <v>0</v>
      </c>
      <c r="P508" s="260">
        <v>0</v>
      </c>
      <c r="Q508" s="163">
        <f t="shared" si="272"/>
        <v>13340</v>
      </c>
      <c r="R508" s="165"/>
      <c r="S508" s="163"/>
      <c r="T508" s="163"/>
      <c r="U508" s="163">
        <v>13340</v>
      </c>
      <c r="V508" s="163"/>
      <c r="W508" s="163"/>
      <c r="X508" s="165">
        <f t="shared" si="269"/>
        <v>13340</v>
      </c>
      <c r="Y508" s="301"/>
      <c r="Z508" s="288"/>
      <c r="AA508" s="316"/>
      <c r="AB508" s="329"/>
      <c r="AC508" s="316"/>
      <c r="AD508" s="316"/>
      <c r="AE508" s="316"/>
      <c r="AF508" s="316"/>
      <c r="AG508" s="316"/>
      <c r="AH508" s="316"/>
    </row>
    <row r="509" spans="1:34" ht="18.75" hidden="1" customHeight="1" x14ac:dyDescent="0.2">
      <c r="A509" s="6" t="s">
        <v>76</v>
      </c>
      <c r="B509" s="138"/>
      <c r="C509" s="8"/>
      <c r="D509" s="30" t="s">
        <v>459</v>
      </c>
      <c r="E509" s="9" t="s">
        <v>46</v>
      </c>
      <c r="F509" s="297"/>
      <c r="G509" s="297" t="s">
        <v>81</v>
      </c>
      <c r="H509" s="165">
        <v>0</v>
      </c>
      <c r="I509" s="165">
        <f t="shared" si="270"/>
        <v>0</v>
      </c>
      <c r="J509" s="165">
        <v>0</v>
      </c>
      <c r="K509" s="301"/>
      <c r="L509" s="301"/>
      <c r="M509" s="301"/>
      <c r="N509" s="293">
        <f t="shared" si="271"/>
        <v>0</v>
      </c>
      <c r="O509" s="165">
        <v>0</v>
      </c>
      <c r="P509" s="260">
        <v>0</v>
      </c>
      <c r="Q509" s="163">
        <f t="shared" si="272"/>
        <v>0</v>
      </c>
      <c r="R509" s="165"/>
      <c r="S509" s="163"/>
      <c r="T509" s="163"/>
      <c r="U509" s="163">
        <v>0</v>
      </c>
      <c r="V509" s="163"/>
      <c r="W509" s="163"/>
      <c r="X509" s="165">
        <f t="shared" si="269"/>
        <v>0</v>
      </c>
      <c r="Y509" s="301"/>
      <c r="Z509" s="288"/>
      <c r="AA509" s="316"/>
      <c r="AB509" s="329"/>
      <c r="AC509" s="316"/>
      <c r="AD509" s="316"/>
      <c r="AE509" s="316"/>
      <c r="AF509" s="316"/>
      <c r="AG509" s="316"/>
      <c r="AH509" s="316"/>
    </row>
    <row r="510" spans="1:34" ht="18.75" hidden="1" customHeight="1" x14ac:dyDescent="0.2">
      <c r="A510" s="6" t="s">
        <v>76</v>
      </c>
      <c r="B510" s="138"/>
      <c r="C510" s="8"/>
      <c r="D510" s="30" t="s">
        <v>459</v>
      </c>
      <c r="E510" s="9" t="s">
        <v>46</v>
      </c>
      <c r="F510" s="297"/>
      <c r="G510" s="297" t="s">
        <v>262</v>
      </c>
      <c r="H510" s="165">
        <v>0</v>
      </c>
      <c r="I510" s="165">
        <f t="shared" si="270"/>
        <v>0</v>
      </c>
      <c r="J510" s="165"/>
      <c r="K510" s="301"/>
      <c r="L510" s="301"/>
      <c r="M510" s="301"/>
      <c r="N510" s="293">
        <f t="shared" si="271"/>
        <v>0</v>
      </c>
      <c r="O510" s="165">
        <v>0</v>
      </c>
      <c r="P510" s="260">
        <v>0</v>
      </c>
      <c r="Q510" s="163">
        <f t="shared" si="272"/>
        <v>0</v>
      </c>
      <c r="R510" s="165">
        <v>0</v>
      </c>
      <c r="S510" s="163">
        <v>0</v>
      </c>
      <c r="T510" s="163"/>
      <c r="U510" s="163"/>
      <c r="V510" s="163"/>
      <c r="W510" s="163"/>
      <c r="X510" s="165">
        <f t="shared" si="269"/>
        <v>0</v>
      </c>
      <c r="Y510" s="301"/>
      <c r="Z510" s="288"/>
      <c r="AA510" s="316"/>
      <c r="AB510" s="329"/>
      <c r="AC510" s="316"/>
      <c r="AD510" s="316"/>
      <c r="AE510" s="316"/>
      <c r="AF510" s="316"/>
      <c r="AG510" s="316"/>
      <c r="AH510" s="316"/>
    </row>
    <row r="511" spans="1:34" ht="24.75" hidden="1" customHeight="1" x14ac:dyDescent="0.2">
      <c r="A511" s="6" t="s">
        <v>76</v>
      </c>
      <c r="B511" s="138"/>
      <c r="C511" s="8"/>
      <c r="D511" s="30" t="s">
        <v>513</v>
      </c>
      <c r="E511" s="9" t="s">
        <v>46</v>
      </c>
      <c r="F511" s="297"/>
      <c r="G511" s="297" t="s">
        <v>81</v>
      </c>
      <c r="H511" s="165">
        <v>0</v>
      </c>
      <c r="I511" s="165">
        <f t="shared" si="270"/>
        <v>0</v>
      </c>
      <c r="J511" s="165"/>
      <c r="K511" s="301"/>
      <c r="L511" s="301"/>
      <c r="M511" s="301">
        <v>0</v>
      </c>
      <c r="N511" s="293">
        <f t="shared" si="271"/>
        <v>0</v>
      </c>
      <c r="O511" s="165">
        <v>0</v>
      </c>
      <c r="P511" s="260">
        <v>0</v>
      </c>
      <c r="Q511" s="163">
        <f t="shared" si="272"/>
        <v>0</v>
      </c>
      <c r="R511" s="165"/>
      <c r="S511" s="163"/>
      <c r="T511" s="163"/>
      <c r="U511" s="163"/>
      <c r="V511" s="163"/>
      <c r="W511" s="163"/>
      <c r="X511" s="165">
        <f t="shared" si="269"/>
        <v>0</v>
      </c>
      <c r="Y511" s="301"/>
      <c r="Z511" s="288"/>
      <c r="AA511" s="316"/>
      <c r="AB511" s="329"/>
      <c r="AC511" s="316"/>
      <c r="AD511" s="316"/>
      <c r="AE511" s="316"/>
      <c r="AF511" s="316"/>
      <c r="AG511" s="316"/>
      <c r="AH511" s="316"/>
    </row>
    <row r="512" spans="1:34" ht="25.5" hidden="1" customHeight="1" x14ac:dyDescent="0.2">
      <c r="A512" s="6" t="s">
        <v>76</v>
      </c>
      <c r="B512" s="138"/>
      <c r="C512" s="8"/>
      <c r="D512" s="30"/>
      <c r="E512" s="9" t="s">
        <v>46</v>
      </c>
      <c r="F512" s="297"/>
      <c r="G512" s="297" t="s">
        <v>81</v>
      </c>
      <c r="H512" s="165">
        <v>0</v>
      </c>
      <c r="I512" s="165">
        <f t="shared" si="270"/>
        <v>19434</v>
      </c>
      <c r="J512" s="165">
        <v>0</v>
      </c>
      <c r="K512" s="301">
        <v>0</v>
      </c>
      <c r="L512" s="301">
        <v>0</v>
      </c>
      <c r="M512" s="301">
        <v>19434</v>
      </c>
      <c r="N512" s="293">
        <f t="shared" si="271"/>
        <v>19434</v>
      </c>
      <c r="O512" s="165">
        <v>0</v>
      </c>
      <c r="P512" s="260">
        <v>0</v>
      </c>
      <c r="Q512" s="163">
        <f t="shared" si="272"/>
        <v>0</v>
      </c>
      <c r="R512" s="165"/>
      <c r="S512" s="163"/>
      <c r="T512" s="163"/>
      <c r="U512" s="163"/>
      <c r="V512" s="163"/>
      <c r="W512" s="163"/>
      <c r="X512" s="165"/>
      <c r="Y512" s="301"/>
      <c r="Z512" s="288"/>
      <c r="AA512" s="316"/>
      <c r="AB512" s="329"/>
      <c r="AC512" s="316"/>
      <c r="AD512" s="316"/>
      <c r="AE512" s="316"/>
      <c r="AF512" s="316"/>
      <c r="AG512" s="316"/>
      <c r="AH512" s="316"/>
    </row>
    <row r="513" spans="1:34" ht="25.5" hidden="1" customHeight="1" x14ac:dyDescent="0.2">
      <c r="A513" s="6" t="s">
        <v>76</v>
      </c>
      <c r="B513" s="138"/>
      <c r="C513" s="8"/>
      <c r="D513" s="30"/>
      <c r="E513" s="9" t="s">
        <v>46</v>
      </c>
      <c r="F513" s="297"/>
      <c r="G513" s="297"/>
      <c r="H513" s="165"/>
      <c r="I513" s="165"/>
      <c r="J513" s="165"/>
      <c r="K513" s="301"/>
      <c r="L513" s="301"/>
      <c r="M513" s="301"/>
      <c r="N513" s="293"/>
      <c r="O513" s="165"/>
      <c r="P513" s="260">
        <v>0</v>
      </c>
      <c r="Q513" s="163">
        <f t="shared" si="272"/>
        <v>0</v>
      </c>
      <c r="R513" s="165">
        <v>0</v>
      </c>
      <c r="S513" s="163"/>
      <c r="T513" s="163"/>
      <c r="U513" s="163"/>
      <c r="V513" s="163"/>
      <c r="W513" s="163"/>
      <c r="X513" s="165">
        <f>P513+Q513</f>
        <v>0</v>
      </c>
      <c r="Y513" s="301"/>
      <c r="Z513" s="288"/>
      <c r="AA513" s="316"/>
      <c r="AB513" s="329"/>
      <c r="AC513" s="316"/>
      <c r="AD513" s="316"/>
      <c r="AE513" s="316"/>
      <c r="AF513" s="316"/>
      <c r="AG513" s="316"/>
      <c r="AH513" s="316"/>
    </row>
    <row r="514" spans="1:34" s="316" customFormat="1" ht="25.5" customHeight="1" x14ac:dyDescent="0.2">
      <c r="A514" s="164" t="s">
        <v>80</v>
      </c>
      <c r="B514" s="344"/>
      <c r="C514" s="297"/>
      <c r="D514" s="169"/>
      <c r="E514" s="298" t="s">
        <v>44</v>
      </c>
      <c r="F514" s="297" t="s">
        <v>554</v>
      </c>
      <c r="G514" s="297" t="s">
        <v>81</v>
      </c>
      <c r="H514" s="165">
        <v>40000</v>
      </c>
      <c r="I514" s="165">
        <f>SUM(J514:M514)</f>
        <v>34470</v>
      </c>
      <c r="J514" s="165">
        <v>34470</v>
      </c>
      <c r="K514" s="301">
        <v>0</v>
      </c>
      <c r="L514" s="301">
        <v>0</v>
      </c>
      <c r="M514" s="301">
        <v>0</v>
      </c>
      <c r="N514" s="293">
        <f>H514+I514</f>
        <v>74470</v>
      </c>
      <c r="O514" s="165">
        <f>40000*80%</f>
        <v>32000</v>
      </c>
      <c r="P514" s="260">
        <v>35250</v>
      </c>
      <c r="Q514" s="163">
        <f t="shared" si="272"/>
        <v>-3933.32</v>
      </c>
      <c r="R514" s="165">
        <v>-3933.32</v>
      </c>
      <c r="S514" s="163">
        <v>0</v>
      </c>
      <c r="T514" s="163"/>
      <c r="U514" s="63"/>
      <c r="V514" s="163"/>
      <c r="W514" s="163"/>
      <c r="X514" s="165">
        <f>P514+Q514</f>
        <v>31316.68</v>
      </c>
      <c r="Y514" s="301" t="s">
        <v>595</v>
      </c>
      <c r="Z514" s="288"/>
      <c r="AB514" s="329"/>
    </row>
    <row r="515" spans="1:34" s="316" customFormat="1" ht="28.5" customHeight="1" x14ac:dyDescent="0.2">
      <c r="A515" s="164" t="s">
        <v>80</v>
      </c>
      <c r="B515" s="344"/>
      <c r="C515" s="297"/>
      <c r="D515" s="169"/>
      <c r="E515" s="298" t="s">
        <v>46</v>
      </c>
      <c r="F515" s="297" t="s">
        <v>554</v>
      </c>
      <c r="G515" s="297" t="s">
        <v>81</v>
      </c>
      <c r="H515" s="165">
        <v>100000</v>
      </c>
      <c r="I515" s="165">
        <f t="shared" si="270"/>
        <v>-34470</v>
      </c>
      <c r="J515" s="165">
        <v>-34470</v>
      </c>
      <c r="K515" s="301">
        <v>0</v>
      </c>
      <c r="L515" s="301">
        <v>0</v>
      </c>
      <c r="M515" s="301">
        <v>0</v>
      </c>
      <c r="N515" s="293">
        <f t="shared" si="271"/>
        <v>65530</v>
      </c>
      <c r="O515" s="165">
        <f>100000*80%</f>
        <v>80000</v>
      </c>
      <c r="P515" s="260">
        <v>30000</v>
      </c>
      <c r="Q515" s="163">
        <f>R515+S515+T515+U515+V515</f>
        <v>0</v>
      </c>
      <c r="R515" s="165">
        <v>0</v>
      </c>
      <c r="S515" s="163">
        <v>0</v>
      </c>
      <c r="T515" s="163"/>
      <c r="U515" s="163">
        <v>0</v>
      </c>
      <c r="V515" s="163"/>
      <c r="W515" s="163"/>
      <c r="X515" s="165">
        <f>P515+Q515</f>
        <v>30000</v>
      </c>
      <c r="Y515" s="301"/>
      <c r="Z515" s="288"/>
      <c r="AB515" s="329"/>
    </row>
    <row r="516" spans="1:34" ht="28.5" hidden="1" customHeight="1" x14ac:dyDescent="0.2">
      <c r="A516" s="40"/>
      <c r="B516" s="41"/>
      <c r="C516" s="8"/>
      <c r="D516" s="30" t="s">
        <v>304</v>
      </c>
      <c r="E516" s="9" t="s">
        <v>46</v>
      </c>
      <c r="F516" s="8"/>
      <c r="G516" s="8" t="s">
        <v>126</v>
      </c>
      <c r="H516" s="31"/>
      <c r="I516" s="31"/>
      <c r="J516" s="31"/>
      <c r="K516" s="32"/>
      <c r="L516" s="32"/>
      <c r="M516" s="32"/>
      <c r="N516" s="33"/>
      <c r="O516" s="31"/>
      <c r="P516" s="260">
        <v>0</v>
      </c>
      <c r="Q516" s="163">
        <f t="shared" ref="Q516" si="273">R516+S516+T516+U516+V516</f>
        <v>0</v>
      </c>
      <c r="R516" s="165">
        <v>0</v>
      </c>
      <c r="S516" s="163"/>
      <c r="T516" s="163"/>
      <c r="U516" s="163"/>
      <c r="V516" s="163"/>
      <c r="W516" s="163"/>
      <c r="X516" s="165">
        <f t="shared" ref="X516:X518" si="274">P516+Q516</f>
        <v>0</v>
      </c>
      <c r="Y516" s="301"/>
      <c r="Z516" s="288"/>
      <c r="AA516" s="316"/>
      <c r="AB516" s="329"/>
      <c r="AC516" s="316"/>
    </row>
    <row r="517" spans="1:34" ht="28.5" customHeight="1" x14ac:dyDescent="0.2">
      <c r="A517" s="38" t="s">
        <v>321</v>
      </c>
      <c r="B517" s="41"/>
      <c r="C517" s="8"/>
      <c r="D517" s="30"/>
      <c r="E517" s="9" t="s">
        <v>46</v>
      </c>
      <c r="F517" s="297" t="s">
        <v>556</v>
      </c>
      <c r="G517" s="297" t="s">
        <v>165</v>
      </c>
      <c r="H517" s="31"/>
      <c r="I517" s="31"/>
      <c r="J517" s="31"/>
      <c r="K517" s="32"/>
      <c r="L517" s="32"/>
      <c r="M517" s="32"/>
      <c r="N517" s="33"/>
      <c r="O517" s="31"/>
      <c r="P517" s="260">
        <v>21695.88</v>
      </c>
      <c r="Q517" s="163">
        <f>R517+S517+T517+U517+V517</f>
        <v>0</v>
      </c>
      <c r="R517" s="165"/>
      <c r="S517" s="163"/>
      <c r="T517" s="163"/>
      <c r="U517" s="163"/>
      <c r="V517" s="163"/>
      <c r="W517" s="163"/>
      <c r="X517" s="165">
        <f>P517+Q517</f>
        <v>21695.88</v>
      </c>
      <c r="Y517" s="301"/>
      <c r="Z517" s="288"/>
      <c r="AA517" s="316"/>
      <c r="AB517" s="329"/>
      <c r="AC517" s="316"/>
    </row>
    <row r="518" spans="1:34" ht="28.5" customHeight="1" x14ac:dyDescent="0.2">
      <c r="A518" s="38" t="s">
        <v>315</v>
      </c>
      <c r="B518" s="41"/>
      <c r="C518" s="8"/>
      <c r="D518" s="30" t="s">
        <v>459</v>
      </c>
      <c r="E518" s="9" t="s">
        <v>46</v>
      </c>
      <c r="F518" s="297" t="s">
        <v>556</v>
      </c>
      <c r="G518" s="297" t="s">
        <v>165</v>
      </c>
      <c r="H518" s="31"/>
      <c r="I518" s="31"/>
      <c r="J518" s="31"/>
      <c r="K518" s="32"/>
      <c r="L518" s="32"/>
      <c r="M518" s="32"/>
      <c r="N518" s="33"/>
      <c r="O518" s="31"/>
      <c r="P518" s="260">
        <f>100000</f>
        <v>100000</v>
      </c>
      <c r="Q518" s="163">
        <f>R518+S518+T518+U518+V518</f>
        <v>51651.17</v>
      </c>
      <c r="R518" s="165"/>
      <c r="S518" s="163"/>
      <c r="T518" s="163"/>
      <c r="U518" s="163">
        <v>51651.17</v>
      </c>
      <c r="V518" s="163"/>
      <c r="W518" s="163"/>
      <c r="X518" s="165">
        <f t="shared" si="274"/>
        <v>151651.16999999998</v>
      </c>
      <c r="Y518" s="301"/>
      <c r="Z518" s="288"/>
      <c r="AA518" s="316"/>
      <c r="AB518" s="329"/>
      <c r="AC518" s="316"/>
    </row>
    <row r="519" spans="1:34" ht="66.75" customHeight="1" x14ac:dyDescent="0.2">
      <c r="A519" s="16" t="s">
        <v>325</v>
      </c>
      <c r="B519" s="17">
        <v>804</v>
      </c>
      <c r="C519" s="18" t="s">
        <v>301</v>
      </c>
      <c r="D519" s="18" t="s">
        <v>460</v>
      </c>
      <c r="E519" s="19" t="s">
        <v>19</v>
      </c>
      <c r="F519" s="18"/>
      <c r="G519" s="18"/>
      <c r="H519" s="20">
        <f t="shared" ref="H519:N519" si="275">H520+H522+H525+H528+H534</f>
        <v>500000</v>
      </c>
      <c r="I519" s="20">
        <f t="shared" si="275"/>
        <v>-197625.04</v>
      </c>
      <c r="J519" s="20">
        <f t="shared" si="275"/>
        <v>-197625.04</v>
      </c>
      <c r="K519" s="21">
        <f t="shared" si="275"/>
        <v>0</v>
      </c>
      <c r="L519" s="21">
        <f t="shared" si="275"/>
        <v>0</v>
      </c>
      <c r="M519" s="21">
        <f t="shared" si="275"/>
        <v>0</v>
      </c>
      <c r="N519" s="22">
        <f t="shared" si="275"/>
        <v>302374.95999999996</v>
      </c>
      <c r="O519" s="20">
        <f>O520+O522+O525+O528+O534</f>
        <v>400000</v>
      </c>
      <c r="P519" s="257">
        <f>P520+P522+P525+P528+P532</f>
        <v>78418.11</v>
      </c>
      <c r="Q519" s="257">
        <f t="shared" ref="Q519:X519" si="276">Q520+Q522+Q525+Q528+Q532</f>
        <v>15045</v>
      </c>
      <c r="R519" s="257">
        <f t="shared" si="276"/>
        <v>0</v>
      </c>
      <c r="S519" s="257">
        <f t="shared" si="276"/>
        <v>0</v>
      </c>
      <c r="T519" s="257">
        <f t="shared" si="276"/>
        <v>0</v>
      </c>
      <c r="U519" s="257">
        <f t="shared" si="276"/>
        <v>15045</v>
      </c>
      <c r="V519" s="257">
        <f t="shared" si="276"/>
        <v>0</v>
      </c>
      <c r="W519" s="257"/>
      <c r="X519" s="257">
        <f t="shared" si="276"/>
        <v>93463.11</v>
      </c>
      <c r="Y519" s="382"/>
      <c r="Z519" s="288"/>
      <c r="AA519" s="316"/>
      <c r="AB519" s="385"/>
      <c r="AC519" s="316"/>
    </row>
    <row r="520" spans="1:34" s="195" customFormat="1" ht="12.75" customHeight="1" x14ac:dyDescent="0.2">
      <c r="A520" s="74" t="s">
        <v>47</v>
      </c>
      <c r="B520" s="75" t="s">
        <v>130</v>
      </c>
      <c r="C520" s="43" t="s">
        <v>301</v>
      </c>
      <c r="D520" s="43" t="s">
        <v>460</v>
      </c>
      <c r="E520" s="43" t="s">
        <v>46</v>
      </c>
      <c r="F520" s="43" t="s">
        <v>48</v>
      </c>
      <c r="G520" s="43"/>
      <c r="H520" s="76">
        <f t="shared" ref="H520:X520" si="277">H521</f>
        <v>50000</v>
      </c>
      <c r="I520" s="76">
        <f t="shared" si="277"/>
        <v>0</v>
      </c>
      <c r="J520" s="76">
        <f t="shared" si="277"/>
        <v>0</v>
      </c>
      <c r="K520" s="77">
        <f t="shared" si="277"/>
        <v>0</v>
      </c>
      <c r="L520" s="77">
        <f t="shared" si="277"/>
        <v>0</v>
      </c>
      <c r="M520" s="77">
        <f t="shared" si="277"/>
        <v>0</v>
      </c>
      <c r="N520" s="78">
        <f t="shared" si="277"/>
        <v>50000</v>
      </c>
      <c r="O520" s="76">
        <f t="shared" si="277"/>
        <v>40000</v>
      </c>
      <c r="P520" s="441">
        <f t="shared" si="277"/>
        <v>5726.84</v>
      </c>
      <c r="Q520" s="422">
        <f t="shared" si="277"/>
        <v>0</v>
      </c>
      <c r="R520" s="422">
        <f t="shared" si="277"/>
        <v>0</v>
      </c>
      <c r="S520" s="422">
        <f t="shared" si="277"/>
        <v>0</v>
      </c>
      <c r="T520" s="422">
        <f t="shared" si="277"/>
        <v>0</v>
      </c>
      <c r="U520" s="422">
        <f t="shared" si="277"/>
        <v>0</v>
      </c>
      <c r="V520" s="422">
        <f t="shared" si="277"/>
        <v>0</v>
      </c>
      <c r="W520" s="422"/>
      <c r="X520" s="422">
        <f t="shared" si="277"/>
        <v>5726.84</v>
      </c>
      <c r="Y520" s="377"/>
      <c r="Z520" s="288"/>
      <c r="AA520" s="325"/>
      <c r="AB520" s="394"/>
      <c r="AC520" s="325"/>
    </row>
    <row r="521" spans="1:34" ht="42" customHeight="1" x14ac:dyDescent="0.2">
      <c r="A521" s="6" t="s">
        <v>131</v>
      </c>
      <c r="B521" s="39"/>
      <c r="C521" s="8"/>
      <c r="D521" s="8"/>
      <c r="E521" s="9"/>
      <c r="F521" s="8"/>
      <c r="G521" s="8" t="s">
        <v>49</v>
      </c>
      <c r="H521" s="31">
        <v>50000</v>
      </c>
      <c r="I521" s="31">
        <f>SUM(J521:M521)</f>
        <v>0</v>
      </c>
      <c r="J521" s="31"/>
      <c r="K521" s="32"/>
      <c r="L521" s="32"/>
      <c r="M521" s="32"/>
      <c r="N521" s="33">
        <f>H521+I521</f>
        <v>50000</v>
      </c>
      <c r="O521" s="31">
        <f>50000*80%</f>
        <v>40000</v>
      </c>
      <c r="P521" s="54">
        <v>5726.84</v>
      </c>
      <c r="Q521" s="165">
        <f>R521+S521+T521+U521+V521</f>
        <v>0</v>
      </c>
      <c r="R521" s="165">
        <v>0</v>
      </c>
      <c r="S521" s="165"/>
      <c r="T521" s="165"/>
      <c r="U521" s="165"/>
      <c r="V521" s="165"/>
      <c r="W521" s="165"/>
      <c r="X521" s="165">
        <f>P521+Q521</f>
        <v>5726.84</v>
      </c>
      <c r="Y521" s="301" t="s">
        <v>595</v>
      </c>
      <c r="Z521" s="288"/>
      <c r="AA521" s="316"/>
      <c r="AB521" s="329"/>
      <c r="AC521" s="316"/>
    </row>
    <row r="522" spans="1:34" s="52" customFormat="1" ht="19.5" hidden="1" customHeight="1" x14ac:dyDescent="0.2">
      <c r="A522" s="48" t="s">
        <v>50</v>
      </c>
      <c r="B522" s="75" t="s">
        <v>130</v>
      </c>
      <c r="C522" s="43" t="s">
        <v>301</v>
      </c>
      <c r="D522" s="43" t="s">
        <v>460</v>
      </c>
      <c r="E522" s="44" t="s">
        <v>46</v>
      </c>
      <c r="F522" s="43" t="s">
        <v>51</v>
      </c>
      <c r="G522" s="43"/>
      <c r="H522" s="76">
        <f t="shared" ref="H522:N522" si="278">SUM(H523:H524)</f>
        <v>0</v>
      </c>
      <c r="I522" s="76">
        <f t="shared" si="278"/>
        <v>80000</v>
      </c>
      <c r="J522" s="76">
        <f t="shared" si="278"/>
        <v>80000</v>
      </c>
      <c r="K522" s="76">
        <f t="shared" si="278"/>
        <v>0</v>
      </c>
      <c r="L522" s="76">
        <f t="shared" si="278"/>
        <v>0</v>
      </c>
      <c r="M522" s="76">
        <f t="shared" si="278"/>
        <v>0</v>
      </c>
      <c r="N522" s="76">
        <f t="shared" si="278"/>
        <v>80000</v>
      </c>
      <c r="O522" s="76">
        <f>SUM(O523:O524)</f>
        <v>0</v>
      </c>
      <c r="P522" s="441">
        <f>SUM(P523:P524)</f>
        <v>0</v>
      </c>
      <c r="Q522" s="422">
        <f t="shared" ref="Q522:X522" si="279">SUM(Q523:Q524)</f>
        <v>0</v>
      </c>
      <c r="R522" s="422">
        <f t="shared" si="279"/>
        <v>0</v>
      </c>
      <c r="S522" s="422">
        <f t="shared" si="279"/>
        <v>0</v>
      </c>
      <c r="T522" s="422">
        <f t="shared" si="279"/>
        <v>0</v>
      </c>
      <c r="U522" s="422">
        <f t="shared" si="279"/>
        <v>0</v>
      </c>
      <c r="V522" s="422">
        <f t="shared" si="279"/>
        <v>0</v>
      </c>
      <c r="W522" s="422"/>
      <c r="X522" s="422">
        <f t="shared" si="279"/>
        <v>0</v>
      </c>
      <c r="Y522" s="369"/>
      <c r="Z522" s="288"/>
      <c r="AA522" s="319"/>
      <c r="AB522" s="394"/>
      <c r="AC522" s="319"/>
    </row>
    <row r="523" spans="1:34" ht="23.25" hidden="1" customHeight="1" x14ac:dyDescent="0.2">
      <c r="A523" s="6" t="s">
        <v>287</v>
      </c>
      <c r="B523" s="39"/>
      <c r="C523" s="8"/>
      <c r="D523" s="8"/>
      <c r="E523" s="9"/>
      <c r="F523" s="8"/>
      <c r="G523" s="8" t="s">
        <v>101</v>
      </c>
      <c r="H523" s="31">
        <v>0</v>
      </c>
      <c r="I523" s="31">
        <f>SUM(J523:M523)</f>
        <v>0</v>
      </c>
      <c r="J523" s="31"/>
      <c r="K523" s="32"/>
      <c r="L523" s="32"/>
      <c r="M523" s="32"/>
      <c r="N523" s="33">
        <f>H523+I523</f>
        <v>0</v>
      </c>
      <c r="O523" s="31">
        <v>0</v>
      </c>
      <c r="P523" s="54">
        <v>0</v>
      </c>
      <c r="Q523" s="165">
        <f>R523+S523+T523+U523+V523</f>
        <v>0</v>
      </c>
      <c r="R523" s="165">
        <v>0</v>
      </c>
      <c r="S523" s="165"/>
      <c r="T523" s="165"/>
      <c r="U523" s="165"/>
      <c r="V523" s="165"/>
      <c r="W523" s="165"/>
      <c r="X523" s="165">
        <f>P523+Q523</f>
        <v>0</v>
      </c>
      <c r="Y523" s="301"/>
      <c r="Z523" s="288"/>
      <c r="AA523" s="316"/>
      <c r="AB523" s="329"/>
      <c r="AC523" s="316"/>
    </row>
    <row r="524" spans="1:34" ht="23.25" hidden="1" customHeight="1" x14ac:dyDescent="0.2">
      <c r="A524" s="6" t="s">
        <v>287</v>
      </c>
      <c r="B524" s="39"/>
      <c r="C524" s="8"/>
      <c r="D524" s="8"/>
      <c r="E524" s="9"/>
      <c r="F524" s="8"/>
      <c r="G524" s="8" t="s">
        <v>56</v>
      </c>
      <c r="H524" s="31">
        <v>0</v>
      </c>
      <c r="I524" s="31">
        <f>SUM(J524:M524)</f>
        <v>80000</v>
      </c>
      <c r="J524" s="31">
        <v>80000</v>
      </c>
      <c r="K524" s="32"/>
      <c r="L524" s="32"/>
      <c r="M524" s="32"/>
      <c r="N524" s="33">
        <f>H524+I524</f>
        <v>80000</v>
      </c>
      <c r="O524" s="31">
        <v>0</v>
      </c>
      <c r="P524" s="54">
        <v>0</v>
      </c>
      <c r="Q524" s="165"/>
      <c r="R524" s="165"/>
      <c r="S524" s="165"/>
      <c r="T524" s="165"/>
      <c r="U524" s="165"/>
      <c r="V524" s="165"/>
      <c r="W524" s="165"/>
      <c r="X524" s="165"/>
      <c r="Y524" s="301"/>
      <c r="Z524" s="288"/>
      <c r="AA524" s="316"/>
      <c r="AB524" s="329"/>
      <c r="AC524" s="316"/>
    </row>
    <row r="525" spans="1:34" s="196" customFormat="1" ht="12.75" customHeight="1" x14ac:dyDescent="0.2">
      <c r="A525" s="74" t="s">
        <v>57</v>
      </c>
      <c r="B525" s="75" t="s">
        <v>130</v>
      </c>
      <c r="C525" s="43" t="s">
        <v>301</v>
      </c>
      <c r="D525" s="43" t="s">
        <v>460</v>
      </c>
      <c r="E525" s="43" t="s">
        <v>46</v>
      </c>
      <c r="F525" s="43" t="s">
        <v>58</v>
      </c>
      <c r="G525" s="43"/>
      <c r="H525" s="76">
        <f t="shared" ref="H525:N525" si="280">SUM(H526:H527)</f>
        <v>150000</v>
      </c>
      <c r="I525" s="76">
        <f t="shared" si="280"/>
        <v>-277695</v>
      </c>
      <c r="J525" s="76">
        <f t="shared" si="280"/>
        <v>-277695</v>
      </c>
      <c r="K525" s="77">
        <f t="shared" si="280"/>
        <v>0</v>
      </c>
      <c r="L525" s="77">
        <f t="shared" si="280"/>
        <v>0</v>
      </c>
      <c r="M525" s="77">
        <f t="shared" si="280"/>
        <v>0</v>
      </c>
      <c r="N525" s="78">
        <f t="shared" si="280"/>
        <v>-127695</v>
      </c>
      <c r="O525" s="76">
        <f>SUM(O526:O527)</f>
        <v>120000</v>
      </c>
      <c r="P525" s="441">
        <f>SUM(P526:P527)</f>
        <v>24480.050000000003</v>
      </c>
      <c r="Q525" s="422">
        <f t="shared" ref="Q525:X525" si="281">SUM(Q526:Q527)</f>
        <v>0</v>
      </c>
      <c r="R525" s="422">
        <f t="shared" si="281"/>
        <v>0</v>
      </c>
      <c r="S525" s="422">
        <f t="shared" si="281"/>
        <v>0</v>
      </c>
      <c r="T525" s="422">
        <f t="shared" si="281"/>
        <v>0</v>
      </c>
      <c r="U525" s="422">
        <f t="shared" si="281"/>
        <v>0</v>
      </c>
      <c r="V525" s="422">
        <f t="shared" si="281"/>
        <v>0</v>
      </c>
      <c r="W525" s="422"/>
      <c r="X525" s="422">
        <f t="shared" si="281"/>
        <v>24480.050000000003</v>
      </c>
      <c r="Y525" s="366"/>
      <c r="Z525" s="288"/>
      <c r="AA525" s="326"/>
      <c r="AB525" s="394"/>
      <c r="AC525" s="326"/>
    </row>
    <row r="526" spans="1:34" ht="26.25" customHeight="1" x14ac:dyDescent="0.2">
      <c r="A526" s="6" t="s">
        <v>326</v>
      </c>
      <c r="B526" s="7"/>
      <c r="C526" s="8"/>
      <c r="D526" s="8"/>
      <c r="E526" s="9"/>
      <c r="F526" s="297"/>
      <c r="G526" s="297" t="s">
        <v>316</v>
      </c>
      <c r="H526" s="165">
        <v>50000</v>
      </c>
      <c r="I526" s="165">
        <f>SUM(J526:M526)</f>
        <v>0</v>
      </c>
      <c r="J526" s="165"/>
      <c r="K526" s="301"/>
      <c r="L526" s="301"/>
      <c r="M526" s="301"/>
      <c r="N526" s="293">
        <f>H526+I526</f>
        <v>50000</v>
      </c>
      <c r="O526" s="165">
        <f>50000*80%</f>
        <v>40000</v>
      </c>
      <c r="P526" s="54">
        <v>15653.94</v>
      </c>
      <c r="Q526" s="165">
        <f>R526+S526+T526+U526+V526</f>
        <v>0</v>
      </c>
      <c r="R526" s="165">
        <v>0</v>
      </c>
      <c r="S526" s="349">
        <v>0</v>
      </c>
      <c r="T526" s="349">
        <v>0</v>
      </c>
      <c r="U526" s="349"/>
      <c r="V526" s="349"/>
      <c r="W526" s="349"/>
      <c r="X526" s="165">
        <f>P526+Q526</f>
        <v>15653.94</v>
      </c>
      <c r="Y526" s="301" t="s">
        <v>595</v>
      </c>
      <c r="Z526" s="288"/>
      <c r="AA526" s="316"/>
      <c r="AB526" s="329"/>
      <c r="AC526" s="316"/>
    </row>
    <row r="527" spans="1:34" ht="19.5" customHeight="1" x14ac:dyDescent="0.2">
      <c r="A527" s="6" t="s">
        <v>57</v>
      </c>
      <c r="B527" s="7"/>
      <c r="C527" s="8"/>
      <c r="D527" s="8"/>
      <c r="E527" s="9"/>
      <c r="F527" s="297"/>
      <c r="G527" s="297" t="s">
        <v>64</v>
      </c>
      <c r="H527" s="165">
        <v>100000</v>
      </c>
      <c r="I527" s="165">
        <f>SUM(J527:M527)</f>
        <v>-277695</v>
      </c>
      <c r="J527" s="165">
        <f>-80000-97695-100000</f>
        <v>-277695</v>
      </c>
      <c r="K527" s="301">
        <v>0</v>
      </c>
      <c r="L527" s="301">
        <v>0</v>
      </c>
      <c r="M527" s="301">
        <v>0</v>
      </c>
      <c r="N527" s="293">
        <f>H527+I527</f>
        <v>-177695</v>
      </c>
      <c r="O527" s="165">
        <f>100000*80%</f>
        <v>80000</v>
      </c>
      <c r="P527" s="54">
        <v>8826.11</v>
      </c>
      <c r="Q527" s="165">
        <f>R527+S527+T527+U527+V527</f>
        <v>0</v>
      </c>
      <c r="R527" s="165">
        <v>0</v>
      </c>
      <c r="S527" s="349">
        <v>0</v>
      </c>
      <c r="T527" s="349"/>
      <c r="U527" s="349"/>
      <c r="V527" s="349"/>
      <c r="W527" s="349"/>
      <c r="X527" s="165">
        <f>P527+Q527</f>
        <v>8826.11</v>
      </c>
      <c r="Y527" s="301" t="s">
        <v>595</v>
      </c>
      <c r="Z527" s="288"/>
      <c r="AA527" s="316"/>
      <c r="AB527" s="329"/>
      <c r="AC527" s="316"/>
    </row>
    <row r="528" spans="1:34" s="198" customFormat="1" ht="19.5" customHeight="1" x14ac:dyDescent="0.2">
      <c r="A528" s="197" t="s">
        <v>65</v>
      </c>
      <c r="B528" s="161" t="s">
        <v>130</v>
      </c>
      <c r="C528" s="25" t="s">
        <v>301</v>
      </c>
      <c r="D528" s="43" t="s">
        <v>460</v>
      </c>
      <c r="E528" s="25" t="s">
        <v>46</v>
      </c>
      <c r="F528" s="89" t="s">
        <v>493</v>
      </c>
      <c r="G528" s="89"/>
      <c r="H528" s="362">
        <f t="shared" ref="H528:N528" si="282">SUM(H529:H531)</f>
        <v>200000</v>
      </c>
      <c r="I528" s="362">
        <f t="shared" si="282"/>
        <v>8210</v>
      </c>
      <c r="J528" s="362">
        <f t="shared" si="282"/>
        <v>8210</v>
      </c>
      <c r="K528" s="363">
        <f t="shared" si="282"/>
        <v>0</v>
      </c>
      <c r="L528" s="363">
        <f t="shared" si="282"/>
        <v>0</v>
      </c>
      <c r="M528" s="363">
        <f t="shared" si="282"/>
        <v>0</v>
      </c>
      <c r="N528" s="364">
        <f t="shared" si="282"/>
        <v>208210</v>
      </c>
      <c r="O528" s="362">
        <f>SUM(O529:O531)</f>
        <v>160000</v>
      </c>
      <c r="P528" s="202">
        <f>SUM(P529:P531)</f>
        <v>20945</v>
      </c>
      <c r="Q528" s="354">
        <f t="shared" ref="Q528:X528" si="283">SUM(Q529:Q531)</f>
        <v>15045</v>
      </c>
      <c r="R528" s="354">
        <f>SUM(R529:R531)</f>
        <v>0</v>
      </c>
      <c r="S528" s="354">
        <f t="shared" si="283"/>
        <v>0</v>
      </c>
      <c r="T528" s="354">
        <f t="shared" si="283"/>
        <v>0</v>
      </c>
      <c r="U528" s="354">
        <f t="shared" si="283"/>
        <v>15045</v>
      </c>
      <c r="V528" s="354">
        <f t="shared" si="283"/>
        <v>0</v>
      </c>
      <c r="W528" s="354"/>
      <c r="X528" s="354">
        <f t="shared" si="283"/>
        <v>35990</v>
      </c>
      <c r="Y528" s="378"/>
      <c r="Z528" s="288"/>
      <c r="AA528" s="327"/>
      <c r="AB528" s="402"/>
      <c r="AC528" s="327"/>
    </row>
    <row r="529" spans="1:29" ht="26.25" customHeight="1" x14ac:dyDescent="0.2">
      <c r="A529" s="38" t="s">
        <v>321</v>
      </c>
      <c r="B529" s="39"/>
      <c r="C529" s="8"/>
      <c r="D529" s="8"/>
      <c r="E529" s="9"/>
      <c r="F529" s="297" t="s">
        <v>556</v>
      </c>
      <c r="G529" s="297" t="s">
        <v>165</v>
      </c>
      <c r="H529" s="165">
        <v>100000</v>
      </c>
      <c r="I529" s="165">
        <f>SUM(J529:M529)</f>
        <v>0</v>
      </c>
      <c r="J529" s="165">
        <v>0</v>
      </c>
      <c r="K529" s="301">
        <v>0</v>
      </c>
      <c r="L529" s="301">
        <v>0</v>
      </c>
      <c r="M529" s="301">
        <v>0</v>
      </c>
      <c r="N529" s="293">
        <f>H529+I529</f>
        <v>100000</v>
      </c>
      <c r="O529" s="165">
        <f>100000*80%</f>
        <v>80000</v>
      </c>
      <c r="P529" s="54">
        <v>20945</v>
      </c>
      <c r="Q529" s="165">
        <f>R529+S529+T529+U529+V529</f>
        <v>15045</v>
      </c>
      <c r="R529" s="165">
        <v>0</v>
      </c>
      <c r="S529" s="349">
        <v>0</v>
      </c>
      <c r="T529" s="349"/>
      <c r="U529" s="349">
        <v>15045</v>
      </c>
      <c r="V529" s="349"/>
      <c r="W529" s="349"/>
      <c r="X529" s="165">
        <f>P529+Q529</f>
        <v>35990</v>
      </c>
      <c r="Y529" s="301" t="s">
        <v>595</v>
      </c>
      <c r="Z529" s="288"/>
      <c r="AA529" s="316"/>
      <c r="AB529" s="329"/>
      <c r="AC529" s="316"/>
    </row>
    <row r="530" spans="1:29" ht="26.25" hidden="1" customHeight="1" x14ac:dyDescent="0.2">
      <c r="A530" s="38" t="s">
        <v>67</v>
      </c>
      <c r="B530" s="39"/>
      <c r="C530" s="8"/>
      <c r="D530" s="8"/>
      <c r="E530" s="9"/>
      <c r="F530" s="297"/>
      <c r="G530" s="297" t="s">
        <v>68</v>
      </c>
      <c r="H530" s="165">
        <v>0</v>
      </c>
      <c r="I530" s="165">
        <f>SUM(J530:M530)</f>
        <v>79470</v>
      </c>
      <c r="J530" s="165">
        <v>79470</v>
      </c>
      <c r="K530" s="301">
        <v>0</v>
      </c>
      <c r="L530" s="301">
        <v>0</v>
      </c>
      <c r="M530" s="301">
        <v>0</v>
      </c>
      <c r="N530" s="293">
        <f>H530+I530</f>
        <v>79470</v>
      </c>
      <c r="O530" s="165">
        <v>0</v>
      </c>
      <c r="P530" s="54">
        <v>0</v>
      </c>
      <c r="Q530" s="165">
        <f t="shared" ref="Q530:Q531" si="284">R530+S530+T530+U530+V530</f>
        <v>0</v>
      </c>
      <c r="R530" s="165">
        <v>0</v>
      </c>
      <c r="S530" s="349"/>
      <c r="T530" s="349"/>
      <c r="U530" s="349"/>
      <c r="V530" s="349"/>
      <c r="W530" s="349"/>
      <c r="X530" s="165">
        <f>P530+Q530</f>
        <v>0</v>
      </c>
      <c r="Y530" s="301"/>
      <c r="Z530" s="288"/>
      <c r="AA530" s="316"/>
      <c r="AB530" s="329"/>
      <c r="AC530" s="316"/>
    </row>
    <row r="531" spans="1:29" ht="23.25" hidden="1" customHeight="1" x14ac:dyDescent="0.2">
      <c r="A531" s="38" t="s">
        <v>65</v>
      </c>
      <c r="B531" s="39"/>
      <c r="C531" s="8"/>
      <c r="D531" s="8"/>
      <c r="E531" s="9"/>
      <c r="F531" s="297"/>
      <c r="G531" s="297" t="s">
        <v>69</v>
      </c>
      <c r="H531" s="165">
        <v>100000</v>
      </c>
      <c r="I531" s="165">
        <f>SUM(J531:M531)</f>
        <v>-71260</v>
      </c>
      <c r="J531" s="165">
        <v>-71260</v>
      </c>
      <c r="K531" s="301">
        <v>0</v>
      </c>
      <c r="L531" s="301">
        <v>0</v>
      </c>
      <c r="M531" s="301">
        <v>0</v>
      </c>
      <c r="N531" s="293">
        <f>H531+I531</f>
        <v>28740</v>
      </c>
      <c r="O531" s="165">
        <f>100000*80%</f>
        <v>80000</v>
      </c>
      <c r="P531" s="54">
        <v>0</v>
      </c>
      <c r="Q531" s="165">
        <f t="shared" si="284"/>
        <v>0</v>
      </c>
      <c r="R531" s="165"/>
      <c r="S531" s="349"/>
      <c r="T531" s="349"/>
      <c r="U531" s="349"/>
      <c r="V531" s="349"/>
      <c r="W531" s="349"/>
      <c r="X531" s="165">
        <f>P531+Q531</f>
        <v>0</v>
      </c>
      <c r="Y531" s="301"/>
      <c r="Z531" s="288"/>
      <c r="AA531" s="316"/>
      <c r="AB531" s="329"/>
      <c r="AC531" s="316"/>
    </row>
    <row r="532" spans="1:29" ht="23.25" customHeight="1" x14ac:dyDescent="0.2">
      <c r="A532" s="23" t="s">
        <v>70</v>
      </c>
      <c r="B532" s="161" t="s">
        <v>130</v>
      </c>
      <c r="C532" s="25" t="s">
        <v>301</v>
      </c>
      <c r="D532" s="43" t="s">
        <v>460</v>
      </c>
      <c r="E532" s="44" t="s">
        <v>19</v>
      </c>
      <c r="F532" s="170" t="s">
        <v>71</v>
      </c>
      <c r="G532" s="297"/>
      <c r="H532" s="165"/>
      <c r="I532" s="165"/>
      <c r="J532" s="165"/>
      <c r="K532" s="301"/>
      <c r="L532" s="301"/>
      <c r="M532" s="301"/>
      <c r="N532" s="365"/>
      <c r="O532" s="165"/>
      <c r="P532" s="437">
        <f>P533+P534</f>
        <v>27266.22</v>
      </c>
      <c r="Q532" s="353">
        <f t="shared" ref="Q532:V532" si="285">Q533+Q534</f>
        <v>0</v>
      </c>
      <c r="R532" s="353">
        <f t="shared" si="285"/>
        <v>0</v>
      </c>
      <c r="S532" s="353">
        <f>S533+S534</f>
        <v>0</v>
      </c>
      <c r="T532" s="353">
        <f t="shared" si="285"/>
        <v>0</v>
      </c>
      <c r="U532" s="353">
        <f t="shared" si="285"/>
        <v>0</v>
      </c>
      <c r="V532" s="353">
        <f t="shared" si="285"/>
        <v>0</v>
      </c>
      <c r="W532" s="353"/>
      <c r="X532" s="353">
        <f>X533+X534</f>
        <v>27266.22</v>
      </c>
      <c r="Y532" s="301"/>
      <c r="Z532" s="288"/>
      <c r="AA532" s="316"/>
      <c r="AB532" s="329"/>
      <c r="AC532" s="316"/>
    </row>
    <row r="533" spans="1:29" ht="23.25" hidden="1" customHeight="1" x14ac:dyDescent="0.2">
      <c r="A533" s="40" t="s">
        <v>322</v>
      </c>
      <c r="B533" s="39"/>
      <c r="C533" s="8"/>
      <c r="D533" s="8"/>
      <c r="E533" s="9" t="s">
        <v>46</v>
      </c>
      <c r="F533" s="297" t="s">
        <v>73</v>
      </c>
      <c r="G533" s="297" t="s">
        <v>75</v>
      </c>
      <c r="H533" s="165"/>
      <c r="I533" s="165"/>
      <c r="J533" s="165"/>
      <c r="K533" s="301"/>
      <c r="L533" s="301"/>
      <c r="M533" s="301"/>
      <c r="N533" s="365"/>
      <c r="O533" s="165"/>
      <c r="P533" s="54">
        <v>0</v>
      </c>
      <c r="Q533" s="165">
        <f>R533+S533+T533+V533</f>
        <v>0</v>
      </c>
      <c r="R533" s="165">
        <v>0</v>
      </c>
      <c r="S533" s="349">
        <v>0</v>
      </c>
      <c r="T533" s="349"/>
      <c r="U533" s="349"/>
      <c r="V533" s="349"/>
      <c r="W533" s="349"/>
      <c r="X533" s="165">
        <f>P533+Q533</f>
        <v>0</v>
      </c>
      <c r="Y533" s="301"/>
      <c r="Z533" s="288"/>
      <c r="AA533" s="316"/>
      <c r="AB533" s="329"/>
      <c r="AC533" s="316"/>
    </row>
    <row r="534" spans="1:29" s="195" customFormat="1" ht="23.25" customHeight="1" x14ac:dyDescent="0.2">
      <c r="A534" s="74" t="s">
        <v>76</v>
      </c>
      <c r="B534" s="75" t="s">
        <v>130</v>
      </c>
      <c r="C534" s="43" t="s">
        <v>301</v>
      </c>
      <c r="D534" s="43" t="s">
        <v>460</v>
      </c>
      <c r="E534" s="43" t="s">
        <v>46</v>
      </c>
      <c r="F534" s="170" t="s">
        <v>77</v>
      </c>
      <c r="G534" s="170"/>
      <c r="H534" s="352">
        <f t="shared" ref="H534:O534" si="286">SUM(H535:H538)</f>
        <v>100000</v>
      </c>
      <c r="I534" s="352">
        <f t="shared" si="286"/>
        <v>-8140.0400000000009</v>
      </c>
      <c r="J534" s="352">
        <f t="shared" si="286"/>
        <v>-8140.0400000000009</v>
      </c>
      <c r="K534" s="352">
        <f t="shared" si="286"/>
        <v>0</v>
      </c>
      <c r="L534" s="352">
        <f t="shared" si="286"/>
        <v>0</v>
      </c>
      <c r="M534" s="352">
        <f t="shared" si="286"/>
        <v>0</v>
      </c>
      <c r="N534" s="352">
        <f t="shared" si="286"/>
        <v>91859.959999999992</v>
      </c>
      <c r="O534" s="352">
        <f t="shared" si="286"/>
        <v>80000</v>
      </c>
      <c r="P534" s="437">
        <f>SUM(P535:P541)</f>
        <v>27266.22</v>
      </c>
      <c r="Q534" s="422">
        <f t="shared" ref="Q534:X534" si="287">SUM(Q535:Q541)</f>
        <v>0</v>
      </c>
      <c r="R534" s="422">
        <f t="shared" si="287"/>
        <v>0</v>
      </c>
      <c r="S534" s="422">
        <f t="shared" si="287"/>
        <v>0</v>
      </c>
      <c r="T534" s="422">
        <f t="shared" si="287"/>
        <v>0</v>
      </c>
      <c r="U534" s="422">
        <f t="shared" si="287"/>
        <v>0</v>
      </c>
      <c r="V534" s="422">
        <f t="shared" si="287"/>
        <v>0</v>
      </c>
      <c r="W534" s="422"/>
      <c r="X534" s="422">
        <f t="shared" si="287"/>
        <v>27266.22</v>
      </c>
      <c r="Y534" s="377"/>
      <c r="Z534" s="288"/>
      <c r="AA534" s="325"/>
      <c r="AB534" s="394"/>
      <c r="AC534" s="325"/>
    </row>
    <row r="535" spans="1:29" s="196" customFormat="1" ht="23.25" hidden="1" customHeight="1" x14ac:dyDescent="0.2">
      <c r="A535" s="199" t="s">
        <v>323</v>
      </c>
      <c r="B535" s="194"/>
      <c r="C535" s="30"/>
      <c r="D535" s="30"/>
      <c r="E535" s="30" t="s">
        <v>46</v>
      </c>
      <c r="F535" s="169" t="s">
        <v>565</v>
      </c>
      <c r="G535" s="169" t="s">
        <v>324</v>
      </c>
      <c r="H535" s="349">
        <v>0</v>
      </c>
      <c r="I535" s="165">
        <f>SUM(J535:M535)</f>
        <v>18225</v>
      </c>
      <c r="J535" s="349">
        <v>18225</v>
      </c>
      <c r="K535" s="366"/>
      <c r="L535" s="366"/>
      <c r="M535" s="366"/>
      <c r="N535" s="293">
        <f>H535+I535</f>
        <v>18225</v>
      </c>
      <c r="O535" s="349">
        <v>0</v>
      </c>
      <c r="P535" s="59">
        <v>0</v>
      </c>
      <c r="Q535" s="349">
        <f>R535+S535+T535+U535+V535</f>
        <v>0</v>
      </c>
      <c r="R535" s="349">
        <v>0</v>
      </c>
      <c r="S535" s="349">
        <v>0</v>
      </c>
      <c r="T535" s="349"/>
      <c r="U535" s="349"/>
      <c r="V535" s="349"/>
      <c r="W535" s="349"/>
      <c r="X535" s="165">
        <f t="shared" ref="X535:X541" si="288">P535+Q535</f>
        <v>0</v>
      </c>
      <c r="Y535" s="366"/>
      <c r="Z535" s="288"/>
      <c r="AA535" s="326"/>
      <c r="AB535" s="403"/>
      <c r="AC535" s="326"/>
    </row>
    <row r="536" spans="1:29" s="196" customFormat="1" ht="23.25" hidden="1" customHeight="1" x14ac:dyDescent="0.2">
      <c r="A536" s="199" t="s">
        <v>133</v>
      </c>
      <c r="B536" s="194"/>
      <c r="C536" s="30"/>
      <c r="D536" s="30"/>
      <c r="E536" s="30" t="s">
        <v>46</v>
      </c>
      <c r="F536" s="169"/>
      <c r="G536" s="169" t="s">
        <v>126</v>
      </c>
      <c r="H536" s="349"/>
      <c r="I536" s="165"/>
      <c r="J536" s="349"/>
      <c r="K536" s="366"/>
      <c r="L536" s="366"/>
      <c r="M536" s="366"/>
      <c r="N536" s="293"/>
      <c r="O536" s="349"/>
      <c r="P536" s="59">
        <v>0</v>
      </c>
      <c r="Q536" s="349">
        <f t="shared" ref="Q536:Q541" si="289">R536+S536+T536+U536+V536</f>
        <v>0</v>
      </c>
      <c r="R536" s="349">
        <v>0</v>
      </c>
      <c r="S536" s="349"/>
      <c r="T536" s="349"/>
      <c r="U536" s="349"/>
      <c r="V536" s="349"/>
      <c r="W536" s="349"/>
      <c r="X536" s="165">
        <f t="shared" si="288"/>
        <v>0</v>
      </c>
      <c r="Y536" s="366"/>
      <c r="Z536" s="288"/>
      <c r="AA536" s="326"/>
      <c r="AB536" s="403"/>
      <c r="AC536" s="326"/>
    </row>
    <row r="537" spans="1:29" ht="23.25" hidden="1" customHeight="1" x14ac:dyDescent="0.2">
      <c r="A537" s="40" t="s">
        <v>327</v>
      </c>
      <c r="B537" s="138"/>
      <c r="C537" s="8"/>
      <c r="D537" s="8"/>
      <c r="E537" s="9" t="s">
        <v>44</v>
      </c>
      <c r="F537" s="297" t="s">
        <v>554</v>
      </c>
      <c r="G537" s="297" t="s">
        <v>81</v>
      </c>
      <c r="H537" s="165">
        <v>0</v>
      </c>
      <c r="I537" s="165">
        <f>SUM(J537:M537)</f>
        <v>-26365.040000000001</v>
      </c>
      <c r="J537" s="165">
        <v>-26365.040000000001</v>
      </c>
      <c r="K537" s="301"/>
      <c r="L537" s="301"/>
      <c r="M537" s="301">
        <v>0</v>
      </c>
      <c r="N537" s="293">
        <f>H537+I537</f>
        <v>-26365.040000000001</v>
      </c>
      <c r="O537" s="165">
        <v>0</v>
      </c>
      <c r="P537" s="54">
        <v>0</v>
      </c>
      <c r="Q537" s="349">
        <f t="shared" si="289"/>
        <v>0</v>
      </c>
      <c r="R537" s="165">
        <v>0</v>
      </c>
      <c r="S537" s="349"/>
      <c r="T537" s="349"/>
      <c r="U537" s="349"/>
      <c r="V537" s="349"/>
      <c r="W537" s="349"/>
      <c r="X537" s="165">
        <f t="shared" si="288"/>
        <v>0</v>
      </c>
      <c r="Y537" s="301"/>
      <c r="Z537" s="288"/>
      <c r="AA537" s="316"/>
      <c r="AB537" s="329"/>
      <c r="AC537" s="316"/>
    </row>
    <row r="538" spans="1:29" ht="23.25" customHeight="1" x14ac:dyDescent="0.2">
      <c r="A538" s="40" t="s">
        <v>327</v>
      </c>
      <c r="B538" s="138"/>
      <c r="C538" s="8"/>
      <c r="D538" s="8"/>
      <c r="E538" s="9" t="s">
        <v>46</v>
      </c>
      <c r="F538" s="297" t="s">
        <v>554</v>
      </c>
      <c r="G538" s="297" t="s">
        <v>81</v>
      </c>
      <c r="H538" s="165">
        <v>100000</v>
      </c>
      <c r="I538" s="165">
        <f>SUM(J538:M538)</f>
        <v>0</v>
      </c>
      <c r="J538" s="165">
        <v>0</v>
      </c>
      <c r="K538" s="301">
        <v>0</v>
      </c>
      <c r="L538" s="301">
        <v>0</v>
      </c>
      <c r="M538" s="301">
        <v>0</v>
      </c>
      <c r="N538" s="293">
        <f>H538+I538</f>
        <v>100000</v>
      </c>
      <c r="O538" s="165">
        <f>100000*80%</f>
        <v>80000</v>
      </c>
      <c r="P538" s="54">
        <v>22489.22</v>
      </c>
      <c r="Q538" s="349">
        <f t="shared" si="289"/>
        <v>0</v>
      </c>
      <c r="R538" s="165">
        <v>0</v>
      </c>
      <c r="S538" s="349">
        <v>0</v>
      </c>
      <c r="T538" s="349"/>
      <c r="U538" s="349">
        <v>0</v>
      </c>
      <c r="V538" s="349"/>
      <c r="W538" s="349"/>
      <c r="X538" s="165">
        <f t="shared" si="288"/>
        <v>22489.22</v>
      </c>
      <c r="Y538" s="301" t="s">
        <v>595</v>
      </c>
      <c r="Z538" s="288"/>
      <c r="AA538" s="316"/>
      <c r="AB538" s="329"/>
      <c r="AC538" s="316"/>
    </row>
    <row r="539" spans="1:29" ht="23.25" hidden="1" customHeight="1" x14ac:dyDescent="0.2">
      <c r="A539" s="40" t="s">
        <v>327</v>
      </c>
      <c r="B539" s="138"/>
      <c r="C539" s="8"/>
      <c r="D539" s="8"/>
      <c r="E539" s="9" t="s">
        <v>46</v>
      </c>
      <c r="F539" s="8"/>
      <c r="G539" s="8" t="s">
        <v>262</v>
      </c>
      <c r="H539" s="31"/>
      <c r="I539" s="31"/>
      <c r="J539" s="31"/>
      <c r="K539" s="32"/>
      <c r="L539" s="32"/>
      <c r="M539" s="32"/>
      <c r="N539" s="33"/>
      <c r="O539" s="31"/>
      <c r="P539" s="54">
        <v>0</v>
      </c>
      <c r="Q539" s="349">
        <f t="shared" si="289"/>
        <v>0</v>
      </c>
      <c r="R539" s="165">
        <v>0</v>
      </c>
      <c r="S539" s="349"/>
      <c r="T539" s="349"/>
      <c r="U539" s="349"/>
      <c r="V539" s="349"/>
      <c r="W539" s="349"/>
      <c r="X539" s="165">
        <f t="shared" si="288"/>
        <v>0</v>
      </c>
      <c r="Y539" s="301"/>
      <c r="Z539" s="288"/>
      <c r="AA539" s="316"/>
      <c r="AB539" s="329"/>
      <c r="AC539" s="316"/>
    </row>
    <row r="540" spans="1:29" ht="23.25" hidden="1" customHeight="1" x14ac:dyDescent="0.2">
      <c r="A540" s="40" t="s">
        <v>327</v>
      </c>
      <c r="B540" s="138"/>
      <c r="C540" s="8"/>
      <c r="D540" s="8"/>
      <c r="E540" s="9" t="s">
        <v>46</v>
      </c>
      <c r="F540" s="8"/>
      <c r="G540" s="8" t="s">
        <v>79</v>
      </c>
      <c r="H540" s="31"/>
      <c r="I540" s="31"/>
      <c r="J540" s="31"/>
      <c r="K540" s="32"/>
      <c r="L540" s="32"/>
      <c r="M540" s="32"/>
      <c r="N540" s="33"/>
      <c r="O540" s="31"/>
      <c r="P540" s="54">
        <v>0</v>
      </c>
      <c r="Q540" s="349">
        <f t="shared" si="289"/>
        <v>0</v>
      </c>
      <c r="R540" s="165">
        <v>0</v>
      </c>
      <c r="S540" s="349"/>
      <c r="T540" s="349"/>
      <c r="U540" s="349"/>
      <c r="V540" s="349"/>
      <c r="W540" s="349"/>
      <c r="X540" s="165">
        <f t="shared" si="288"/>
        <v>0</v>
      </c>
      <c r="Y540" s="301"/>
      <c r="Z540" s="288"/>
      <c r="AA540" s="316"/>
      <c r="AB540" s="329"/>
      <c r="AC540" s="316"/>
    </row>
    <row r="541" spans="1:29" ht="23.25" customHeight="1" x14ac:dyDescent="0.2">
      <c r="A541" s="40" t="s">
        <v>327</v>
      </c>
      <c r="B541" s="138"/>
      <c r="C541" s="8"/>
      <c r="D541" s="8"/>
      <c r="E541" s="9" t="s">
        <v>46</v>
      </c>
      <c r="F541" s="8" t="s">
        <v>557</v>
      </c>
      <c r="G541" s="8" t="s">
        <v>262</v>
      </c>
      <c r="H541" s="31"/>
      <c r="I541" s="31"/>
      <c r="J541" s="31"/>
      <c r="K541" s="32"/>
      <c r="L541" s="32"/>
      <c r="M541" s="32"/>
      <c r="N541" s="33"/>
      <c r="O541" s="31"/>
      <c r="P541" s="54">
        <v>4777</v>
      </c>
      <c r="Q541" s="349">
        <f t="shared" si="289"/>
        <v>0</v>
      </c>
      <c r="R541" s="165"/>
      <c r="S541" s="349">
        <v>0</v>
      </c>
      <c r="T541" s="349"/>
      <c r="U541" s="349"/>
      <c r="V541" s="349"/>
      <c r="W541" s="349"/>
      <c r="X541" s="165">
        <f t="shared" si="288"/>
        <v>4777</v>
      </c>
      <c r="Y541" s="301"/>
      <c r="Z541" s="288"/>
      <c r="AA541" s="316"/>
      <c r="AB541" s="329"/>
      <c r="AC541" s="316"/>
    </row>
    <row r="542" spans="1:29" ht="12.75" customHeight="1" x14ac:dyDescent="0.2">
      <c r="A542" s="186" t="s">
        <v>328</v>
      </c>
      <c r="B542" s="187"/>
      <c r="C542" s="188" t="s">
        <v>329</v>
      </c>
      <c r="D542" s="13" t="s">
        <v>18</v>
      </c>
      <c r="E542" s="189" t="s">
        <v>19</v>
      </c>
      <c r="F542" s="188"/>
      <c r="G542" s="188"/>
      <c r="H542" s="116">
        <f>H543</f>
        <v>24961682.649999999</v>
      </c>
      <c r="I542" s="116">
        <f t="shared" ref="I542:N543" si="290">I543</f>
        <v>36400.000000000233</v>
      </c>
      <c r="J542" s="116">
        <f>J543</f>
        <v>0</v>
      </c>
      <c r="K542" s="190">
        <f t="shared" si="290"/>
        <v>36400</v>
      </c>
      <c r="L542" s="190">
        <f t="shared" si="290"/>
        <v>0</v>
      </c>
      <c r="M542" s="190">
        <f t="shared" si="290"/>
        <v>0</v>
      </c>
      <c r="N542" s="191">
        <f>N543</f>
        <v>24998082.649999999</v>
      </c>
      <c r="O542" s="116">
        <f>O543</f>
        <v>24411376.469999999</v>
      </c>
      <c r="P542" s="256">
        <f>P543</f>
        <v>26650697.559999999</v>
      </c>
      <c r="Q542" s="256">
        <f t="shared" ref="Q542:X543" si="291">Q543</f>
        <v>314152.5</v>
      </c>
      <c r="R542" s="256">
        <f>R543</f>
        <v>0</v>
      </c>
      <c r="S542" s="256">
        <f t="shared" si="291"/>
        <v>0</v>
      </c>
      <c r="T542" s="256">
        <f t="shared" si="291"/>
        <v>0</v>
      </c>
      <c r="U542" s="256">
        <f t="shared" si="291"/>
        <v>314152.5</v>
      </c>
      <c r="V542" s="256">
        <f t="shared" si="291"/>
        <v>0</v>
      </c>
      <c r="W542" s="256"/>
      <c r="X542" s="256">
        <f t="shared" si="291"/>
        <v>26964850.059999999</v>
      </c>
      <c r="Y542" s="379"/>
      <c r="Z542" s="288"/>
      <c r="AA542" s="316"/>
      <c r="AB542" s="385"/>
      <c r="AC542" s="316"/>
    </row>
    <row r="543" spans="1:29" ht="25.5" x14ac:dyDescent="0.2">
      <c r="A543" s="16" t="s">
        <v>330</v>
      </c>
      <c r="B543" s="17"/>
      <c r="C543" s="18" t="s">
        <v>56</v>
      </c>
      <c r="D543" s="18" t="s">
        <v>18</v>
      </c>
      <c r="E543" s="19" t="s">
        <v>19</v>
      </c>
      <c r="F543" s="18"/>
      <c r="G543" s="18"/>
      <c r="H543" s="20">
        <f>H544</f>
        <v>24961682.649999999</v>
      </c>
      <c r="I543" s="20">
        <f t="shared" si="290"/>
        <v>36400.000000000233</v>
      </c>
      <c r="J543" s="20">
        <f t="shared" si="290"/>
        <v>0</v>
      </c>
      <c r="K543" s="21">
        <f t="shared" si="290"/>
        <v>36400</v>
      </c>
      <c r="L543" s="21">
        <f t="shared" si="290"/>
        <v>0</v>
      </c>
      <c r="M543" s="21">
        <f t="shared" si="290"/>
        <v>0</v>
      </c>
      <c r="N543" s="22">
        <f t="shared" si="290"/>
        <v>24998082.649999999</v>
      </c>
      <c r="O543" s="20">
        <f>O544</f>
        <v>24411376.469999999</v>
      </c>
      <c r="P543" s="257">
        <f>P544</f>
        <v>26650697.559999999</v>
      </c>
      <c r="Q543" s="257">
        <f t="shared" si="291"/>
        <v>314152.5</v>
      </c>
      <c r="R543" s="257">
        <f t="shared" si="291"/>
        <v>0</v>
      </c>
      <c r="S543" s="257">
        <f t="shared" si="291"/>
        <v>0</v>
      </c>
      <c r="T543" s="257">
        <f t="shared" si="291"/>
        <v>0</v>
      </c>
      <c r="U543" s="257">
        <f t="shared" si="291"/>
        <v>314152.5</v>
      </c>
      <c r="V543" s="257">
        <f t="shared" si="291"/>
        <v>0</v>
      </c>
      <c r="W543" s="257"/>
      <c r="X543" s="257">
        <f>X544</f>
        <v>26964850.059999999</v>
      </c>
      <c r="Y543" s="382"/>
      <c r="Z543" s="288"/>
      <c r="AA543" s="316"/>
      <c r="AB543" s="385"/>
      <c r="AC543" s="316"/>
    </row>
    <row r="544" spans="1:29" ht="63.75" customHeight="1" x14ac:dyDescent="0.2">
      <c r="A544" s="109" t="s">
        <v>515</v>
      </c>
      <c r="B544" s="79">
        <v>804</v>
      </c>
      <c r="C544" s="25" t="s">
        <v>329</v>
      </c>
      <c r="D544" s="134" t="s">
        <v>18</v>
      </c>
      <c r="E544" s="26" t="s">
        <v>19</v>
      </c>
      <c r="F544" s="25"/>
      <c r="G544" s="25"/>
      <c r="H544" s="27">
        <f t="shared" ref="H544:P544" si="292">H547</f>
        <v>24961682.649999999</v>
      </c>
      <c r="I544" s="27">
        <f t="shared" si="292"/>
        <v>36400.000000000233</v>
      </c>
      <c r="J544" s="27">
        <f t="shared" si="292"/>
        <v>0</v>
      </c>
      <c r="K544" s="28">
        <f t="shared" si="292"/>
        <v>36400</v>
      </c>
      <c r="L544" s="28">
        <f t="shared" si="292"/>
        <v>0</v>
      </c>
      <c r="M544" s="28">
        <f t="shared" si="292"/>
        <v>0</v>
      </c>
      <c r="N544" s="29">
        <f t="shared" si="292"/>
        <v>24998082.649999999</v>
      </c>
      <c r="O544" s="27">
        <f t="shared" si="292"/>
        <v>24411376.469999999</v>
      </c>
      <c r="P544" s="258">
        <f t="shared" si="292"/>
        <v>26650697.559999999</v>
      </c>
      <c r="Q544" s="258">
        <f>Q547+Q545+Q546</f>
        <v>314152.5</v>
      </c>
      <c r="R544" s="258">
        <f t="shared" ref="R544" si="293">R547+R545+R546</f>
        <v>0</v>
      </c>
      <c r="S544" s="258">
        <f t="shared" ref="S544:X544" si="294">S547+S545+S546</f>
        <v>0</v>
      </c>
      <c r="T544" s="258">
        <f t="shared" si="294"/>
        <v>0</v>
      </c>
      <c r="U544" s="258">
        <f t="shared" si="294"/>
        <v>314152.5</v>
      </c>
      <c r="V544" s="258">
        <f t="shared" si="294"/>
        <v>0</v>
      </c>
      <c r="W544" s="258"/>
      <c r="X544" s="258">
        <f t="shared" si="294"/>
        <v>26964850.059999999</v>
      </c>
      <c r="Y544" s="301"/>
      <c r="Z544" s="288"/>
      <c r="AA544" s="316"/>
      <c r="AB544" s="385"/>
      <c r="AC544" s="316"/>
    </row>
    <row r="545" spans="1:29" ht="23.25" hidden="1" customHeight="1" x14ac:dyDescent="0.2">
      <c r="A545" s="310" t="s">
        <v>439</v>
      </c>
      <c r="B545" s="79"/>
      <c r="C545" s="169" t="s">
        <v>40</v>
      </c>
      <c r="D545" s="311" t="s">
        <v>440</v>
      </c>
      <c r="E545" s="185" t="s">
        <v>333</v>
      </c>
      <c r="F545" s="169" t="s">
        <v>334</v>
      </c>
      <c r="G545" s="169"/>
      <c r="H545" s="163"/>
      <c r="I545" s="163"/>
      <c r="J545" s="163"/>
      <c r="K545" s="292"/>
      <c r="L545" s="292"/>
      <c r="M545" s="292"/>
      <c r="N545" s="312"/>
      <c r="O545" s="163"/>
      <c r="P545" s="262">
        <v>0</v>
      </c>
      <c r="Q545" s="262">
        <f>R545+S545+T545+U545</f>
        <v>0</v>
      </c>
      <c r="R545" s="262"/>
      <c r="S545" s="262">
        <v>0</v>
      </c>
      <c r="T545" s="262"/>
      <c r="U545" s="262"/>
      <c r="V545" s="262"/>
      <c r="W545" s="262"/>
      <c r="X545" s="262">
        <f>P545+Q545</f>
        <v>0</v>
      </c>
      <c r="Y545" s="301"/>
      <c r="Z545" s="288"/>
      <c r="AA545" s="316"/>
      <c r="AB545" s="398"/>
      <c r="AC545" s="316"/>
    </row>
    <row r="546" spans="1:29" ht="24.75" hidden="1" customHeight="1" x14ac:dyDescent="0.2">
      <c r="A546" s="48" t="s">
        <v>441</v>
      </c>
      <c r="B546" s="79"/>
      <c r="C546" s="304" t="s">
        <v>40</v>
      </c>
      <c r="D546" s="305" t="s">
        <v>440</v>
      </c>
      <c r="E546" s="306" t="s">
        <v>284</v>
      </c>
      <c r="F546" s="304" t="s">
        <v>30</v>
      </c>
      <c r="G546" s="304"/>
      <c r="H546" s="307"/>
      <c r="I546" s="307"/>
      <c r="J546" s="307"/>
      <c r="K546" s="308"/>
      <c r="L546" s="308"/>
      <c r="M546" s="308"/>
      <c r="N546" s="309"/>
      <c r="O546" s="307"/>
      <c r="P546" s="262">
        <v>0</v>
      </c>
      <c r="Q546" s="262">
        <f>R546+S546+T546+U546</f>
        <v>0</v>
      </c>
      <c r="R546" s="262"/>
      <c r="S546" s="262">
        <v>0</v>
      </c>
      <c r="T546" s="262"/>
      <c r="U546" s="262"/>
      <c r="V546" s="262"/>
      <c r="W546" s="262"/>
      <c r="X546" s="262">
        <f>P546+Q546</f>
        <v>0</v>
      </c>
      <c r="Y546" s="301"/>
      <c r="Z546" s="288"/>
      <c r="AA546" s="316"/>
      <c r="AB546" s="398"/>
      <c r="AC546" s="316"/>
    </row>
    <row r="547" spans="1:29" ht="25.5" x14ac:dyDescent="0.2">
      <c r="A547" s="23" t="s">
        <v>331</v>
      </c>
      <c r="B547" s="79">
        <v>804</v>
      </c>
      <c r="C547" s="25" t="s">
        <v>56</v>
      </c>
      <c r="D547" s="134" t="s">
        <v>18</v>
      </c>
      <c r="E547" s="26" t="s">
        <v>19</v>
      </c>
      <c r="F547" s="25" t="s">
        <v>19</v>
      </c>
      <c r="G547" s="25"/>
      <c r="H547" s="27">
        <f t="shared" ref="H547:O547" si="295">SUM(H548:H557)</f>
        <v>24961682.649999999</v>
      </c>
      <c r="I547" s="27">
        <f t="shared" si="295"/>
        <v>36400.000000000233</v>
      </c>
      <c r="J547" s="27">
        <f t="shared" si="295"/>
        <v>0</v>
      </c>
      <c r="K547" s="27">
        <f t="shared" si="295"/>
        <v>36400</v>
      </c>
      <c r="L547" s="27">
        <f t="shared" si="295"/>
        <v>0</v>
      </c>
      <c r="M547" s="27">
        <f t="shared" si="295"/>
        <v>0</v>
      </c>
      <c r="N547" s="27">
        <f t="shared" si="295"/>
        <v>24998082.649999999</v>
      </c>
      <c r="O547" s="27">
        <f t="shared" si="295"/>
        <v>24411376.469999999</v>
      </c>
      <c r="P547" s="258">
        <f>SUM(P548:P561)</f>
        <v>26650697.559999999</v>
      </c>
      <c r="Q547" s="258">
        <f t="shared" ref="Q547:X547" si="296">SUM(Q548:Q561)</f>
        <v>314152.5</v>
      </c>
      <c r="R547" s="258">
        <f t="shared" si="296"/>
        <v>0</v>
      </c>
      <c r="S547" s="258">
        <f t="shared" si="296"/>
        <v>0</v>
      </c>
      <c r="T547" s="258">
        <f t="shared" si="296"/>
        <v>0</v>
      </c>
      <c r="U547" s="258">
        <f t="shared" si="296"/>
        <v>314152.5</v>
      </c>
      <c r="V547" s="258">
        <f t="shared" si="296"/>
        <v>0</v>
      </c>
      <c r="W547" s="258"/>
      <c r="X547" s="258">
        <f t="shared" si="296"/>
        <v>26964850.059999999</v>
      </c>
      <c r="Y547" s="301"/>
      <c r="Z547" s="288"/>
      <c r="AA547" s="316"/>
      <c r="AB547" s="385"/>
      <c r="AC547" s="316"/>
    </row>
    <row r="548" spans="1:29" ht="89.25" x14ac:dyDescent="0.2">
      <c r="A548" s="6" t="s">
        <v>332</v>
      </c>
      <c r="B548" s="138" t="s">
        <v>130</v>
      </c>
      <c r="C548" s="8" t="s">
        <v>56</v>
      </c>
      <c r="D548" s="8" t="s">
        <v>461</v>
      </c>
      <c r="E548" s="9" t="s">
        <v>333</v>
      </c>
      <c r="F548" s="8" t="s">
        <v>334</v>
      </c>
      <c r="G548" s="8" t="s">
        <v>335</v>
      </c>
      <c r="H548" s="31">
        <v>24002882.649999999</v>
      </c>
      <c r="I548" s="31">
        <f t="shared" ref="I548:I557" si="297">SUM(J548:M548)</f>
        <v>0</v>
      </c>
      <c r="J548" s="31"/>
      <c r="K548" s="32"/>
      <c r="L548" s="32"/>
      <c r="M548" s="32"/>
      <c r="N548" s="33">
        <f t="shared" ref="N548:N557" si="298">H548+I548</f>
        <v>24002882.649999999</v>
      </c>
      <c r="O548" s="31">
        <f>24002882.65-482306.18</f>
        <v>23520576.469999999</v>
      </c>
      <c r="P548" s="260">
        <v>25046165.559999999</v>
      </c>
      <c r="Q548" s="165">
        <f>R548+S548+T548+U548+V548</f>
        <v>234152.5</v>
      </c>
      <c r="R548" s="165">
        <v>0</v>
      </c>
      <c r="S548" s="349"/>
      <c r="T548" s="349"/>
      <c r="U548" s="349">
        <v>234152.5</v>
      </c>
      <c r="V548" s="349"/>
      <c r="W548" s="349"/>
      <c r="X548" s="165">
        <f t="shared" ref="X548:X562" si="299">P548+Q548</f>
        <v>25280318.059999999</v>
      </c>
      <c r="Y548" s="301"/>
      <c r="Z548" s="288"/>
      <c r="AA548" s="288"/>
      <c r="AB548" s="329"/>
      <c r="AC548" s="316"/>
    </row>
    <row r="549" spans="1:29" ht="63.75" hidden="1" x14ac:dyDescent="0.2">
      <c r="A549" s="6" t="s">
        <v>336</v>
      </c>
      <c r="B549" s="98">
        <v>804</v>
      </c>
      <c r="C549" s="8" t="s">
        <v>56</v>
      </c>
      <c r="D549" s="8" t="s">
        <v>337</v>
      </c>
      <c r="E549" s="9" t="s">
        <v>333</v>
      </c>
      <c r="F549" s="8" t="s">
        <v>334</v>
      </c>
      <c r="G549" s="8" t="s">
        <v>335</v>
      </c>
      <c r="H549" s="31">
        <v>340000</v>
      </c>
      <c r="I549" s="31">
        <f t="shared" si="297"/>
        <v>0</v>
      </c>
      <c r="J549" s="31"/>
      <c r="K549" s="32"/>
      <c r="L549" s="32"/>
      <c r="M549" s="32"/>
      <c r="N549" s="33">
        <f t="shared" si="298"/>
        <v>340000</v>
      </c>
      <c r="O549" s="31">
        <f>340000*80%</f>
        <v>272000</v>
      </c>
      <c r="P549" s="260">
        <v>0</v>
      </c>
      <c r="Q549" s="165">
        <f t="shared" ref="Q549:Q561" si="300">R549+S549+T549+U549+V549</f>
        <v>0</v>
      </c>
      <c r="R549" s="165"/>
      <c r="S549" s="349"/>
      <c r="T549" s="349"/>
      <c r="U549" s="349"/>
      <c r="V549" s="349"/>
      <c r="W549" s="349"/>
      <c r="X549" s="165">
        <f t="shared" si="299"/>
        <v>0</v>
      </c>
      <c r="Y549" s="301"/>
      <c r="Z549" s="288"/>
      <c r="AA549" s="316"/>
      <c r="AB549" s="329"/>
      <c r="AC549" s="316"/>
    </row>
    <row r="550" spans="1:29" ht="38.25" x14ac:dyDescent="0.2">
      <c r="A550" s="6" t="s">
        <v>338</v>
      </c>
      <c r="B550" s="98"/>
      <c r="C550" s="8"/>
      <c r="D550" s="8" t="s">
        <v>462</v>
      </c>
      <c r="E550" s="9" t="s">
        <v>333</v>
      </c>
      <c r="F550" s="8" t="s">
        <v>334</v>
      </c>
      <c r="G550" s="8" t="s">
        <v>335</v>
      </c>
      <c r="H550" s="31"/>
      <c r="I550" s="31"/>
      <c r="J550" s="31"/>
      <c r="K550" s="32"/>
      <c r="L550" s="32"/>
      <c r="M550" s="32"/>
      <c r="N550" s="33"/>
      <c r="O550" s="31"/>
      <c r="P550" s="260">
        <v>20000</v>
      </c>
      <c r="Q550" s="165">
        <f t="shared" si="300"/>
        <v>80000</v>
      </c>
      <c r="R550" s="165">
        <v>0</v>
      </c>
      <c r="S550" s="349"/>
      <c r="T550" s="349"/>
      <c r="U550" s="349">
        <v>80000</v>
      </c>
      <c r="V550" s="349"/>
      <c r="W550" s="349"/>
      <c r="X550" s="165">
        <f t="shared" si="299"/>
        <v>100000</v>
      </c>
      <c r="Y550" s="301" t="s">
        <v>595</v>
      </c>
      <c r="Z550" s="288"/>
      <c r="AA550" s="316"/>
      <c r="AB550" s="329"/>
      <c r="AC550" s="316"/>
    </row>
    <row r="551" spans="1:29" ht="38.25" x14ac:dyDescent="0.2">
      <c r="A551" s="6" t="s">
        <v>339</v>
      </c>
      <c r="B551" s="98"/>
      <c r="C551" s="8"/>
      <c r="D551" s="8" t="s">
        <v>463</v>
      </c>
      <c r="E551" s="9" t="s">
        <v>333</v>
      </c>
      <c r="F551" s="8" t="s">
        <v>334</v>
      </c>
      <c r="G551" s="8" t="s">
        <v>335</v>
      </c>
      <c r="H551" s="31"/>
      <c r="I551" s="31"/>
      <c r="J551" s="31"/>
      <c r="K551" s="32"/>
      <c r="L551" s="32"/>
      <c r="M551" s="32"/>
      <c r="N551" s="33"/>
      <c r="O551" s="31"/>
      <c r="P551" s="260">
        <v>341884</v>
      </c>
      <c r="Q551" s="165">
        <f t="shared" si="300"/>
        <v>0</v>
      </c>
      <c r="R551" s="165">
        <v>0</v>
      </c>
      <c r="S551" s="349"/>
      <c r="T551" s="349"/>
      <c r="U551" s="349"/>
      <c r="V551" s="349"/>
      <c r="W551" s="349"/>
      <c r="X551" s="165">
        <f t="shared" si="299"/>
        <v>341884</v>
      </c>
      <c r="Y551" s="301" t="s">
        <v>595</v>
      </c>
      <c r="Z551" s="288"/>
      <c r="AA551" s="288"/>
      <c r="AB551" s="329"/>
      <c r="AC551" s="316"/>
    </row>
    <row r="552" spans="1:29" ht="51" x14ac:dyDescent="0.2">
      <c r="A552" s="6" t="s">
        <v>340</v>
      </c>
      <c r="B552" s="98">
        <v>804</v>
      </c>
      <c r="C552" s="8" t="s">
        <v>56</v>
      </c>
      <c r="D552" s="8" t="s">
        <v>461</v>
      </c>
      <c r="E552" s="9" t="s">
        <v>341</v>
      </c>
      <c r="F552" s="8" t="s">
        <v>334</v>
      </c>
      <c r="G552" s="8" t="s">
        <v>342</v>
      </c>
      <c r="H552" s="31">
        <v>618800</v>
      </c>
      <c r="I552" s="31">
        <f t="shared" si="297"/>
        <v>36400</v>
      </c>
      <c r="J552" s="31"/>
      <c r="K552" s="32">
        <v>36400</v>
      </c>
      <c r="L552" s="32"/>
      <c r="M552" s="32"/>
      <c r="N552" s="33">
        <f t="shared" si="298"/>
        <v>655200</v>
      </c>
      <c r="O552" s="31">
        <v>618800</v>
      </c>
      <c r="P552" s="260">
        <v>1242648</v>
      </c>
      <c r="Q552" s="165">
        <f t="shared" si="300"/>
        <v>0</v>
      </c>
      <c r="R552" s="165"/>
      <c r="S552" s="349"/>
      <c r="T552" s="349"/>
      <c r="U552" s="349">
        <v>0</v>
      </c>
      <c r="V552" s="349"/>
      <c r="W552" s="349"/>
      <c r="X552" s="165">
        <f t="shared" si="299"/>
        <v>1242648</v>
      </c>
      <c r="Y552" s="301"/>
      <c r="Z552" s="288"/>
      <c r="AA552" s="316"/>
      <c r="AB552" s="329"/>
      <c r="AC552" s="316"/>
    </row>
    <row r="553" spans="1:29" ht="25.5" hidden="1" x14ac:dyDescent="0.2">
      <c r="A553" s="6" t="s">
        <v>508</v>
      </c>
      <c r="B553" s="98">
        <v>804</v>
      </c>
      <c r="C553" s="8" t="s">
        <v>56</v>
      </c>
      <c r="D553" s="8" t="s">
        <v>343</v>
      </c>
      <c r="E553" s="9" t="s">
        <v>341</v>
      </c>
      <c r="F553" s="8" t="s">
        <v>334</v>
      </c>
      <c r="G553" s="8" t="s">
        <v>344</v>
      </c>
      <c r="H553" s="31">
        <v>0</v>
      </c>
      <c r="I553" s="31">
        <f t="shared" si="297"/>
        <v>-1003610.22</v>
      </c>
      <c r="J553" s="31">
        <v>-1003610.22</v>
      </c>
      <c r="K553" s="32">
        <v>0</v>
      </c>
      <c r="L553" s="32">
        <v>0</v>
      </c>
      <c r="M553" s="32">
        <v>0</v>
      </c>
      <c r="N553" s="33">
        <f t="shared" si="298"/>
        <v>-1003610.22</v>
      </c>
      <c r="O553" s="31">
        <v>0</v>
      </c>
      <c r="P553" s="260">
        <v>0</v>
      </c>
      <c r="Q553" s="165">
        <f t="shared" si="300"/>
        <v>0</v>
      </c>
      <c r="R553" s="165"/>
      <c r="S553" s="349"/>
      <c r="T553" s="349"/>
      <c r="U553" s="349"/>
      <c r="V553" s="349"/>
      <c r="W553" s="349"/>
      <c r="X553" s="165">
        <f t="shared" si="299"/>
        <v>0</v>
      </c>
      <c r="Y553" s="301"/>
      <c r="Z553" s="288"/>
      <c r="AA553" s="316"/>
      <c r="AB553" s="329"/>
      <c r="AC553" s="316"/>
    </row>
    <row r="554" spans="1:29" hidden="1" x14ac:dyDescent="0.2">
      <c r="A554" s="6" t="s">
        <v>345</v>
      </c>
      <c r="B554" s="98">
        <v>804</v>
      </c>
      <c r="C554" s="8" t="s">
        <v>56</v>
      </c>
      <c r="D554" s="8" t="s">
        <v>346</v>
      </c>
      <c r="E554" s="9" t="s">
        <v>46</v>
      </c>
      <c r="F554" s="8" t="s">
        <v>51</v>
      </c>
      <c r="G554" s="8" t="s">
        <v>56</v>
      </c>
      <c r="H554" s="31">
        <v>0</v>
      </c>
      <c r="I554" s="31">
        <f t="shared" si="297"/>
        <v>-6669520</v>
      </c>
      <c r="J554" s="31">
        <v>-6669520</v>
      </c>
      <c r="K554" s="32">
        <v>0</v>
      </c>
      <c r="L554" s="32">
        <v>0</v>
      </c>
      <c r="M554" s="32">
        <v>0</v>
      </c>
      <c r="N554" s="33">
        <f t="shared" si="298"/>
        <v>-6669520</v>
      </c>
      <c r="O554" s="31">
        <v>0</v>
      </c>
      <c r="P554" s="260">
        <v>0</v>
      </c>
      <c r="Q554" s="165">
        <f t="shared" si="300"/>
        <v>0</v>
      </c>
      <c r="R554" s="165"/>
      <c r="S554" s="165"/>
      <c r="T554" s="165"/>
      <c r="U554" s="165"/>
      <c r="V554" s="165"/>
      <c r="W554" s="165"/>
      <c r="X554" s="165">
        <f t="shared" si="299"/>
        <v>0</v>
      </c>
      <c r="Y554" s="301"/>
      <c r="Z554" s="288"/>
      <c r="AA554" s="316"/>
      <c r="AB554" s="329"/>
      <c r="AC554" s="316"/>
    </row>
    <row r="555" spans="1:29" hidden="1" x14ac:dyDescent="0.2">
      <c r="A555" s="6" t="s">
        <v>345</v>
      </c>
      <c r="B555" s="98">
        <v>804</v>
      </c>
      <c r="C555" s="8" t="s">
        <v>56</v>
      </c>
      <c r="D555" s="8" t="s">
        <v>346</v>
      </c>
      <c r="E555" s="9" t="s">
        <v>246</v>
      </c>
      <c r="F555" s="8" t="s">
        <v>73</v>
      </c>
      <c r="G555" s="8" t="s">
        <v>257</v>
      </c>
      <c r="H555" s="31">
        <v>0</v>
      </c>
      <c r="I555" s="31">
        <f t="shared" si="297"/>
        <v>6669520</v>
      </c>
      <c r="J555" s="31">
        <v>6669520</v>
      </c>
      <c r="K555" s="32"/>
      <c r="L555" s="32"/>
      <c r="M555" s="32"/>
      <c r="N555" s="33">
        <f t="shared" si="298"/>
        <v>6669520</v>
      </c>
      <c r="O555" s="31">
        <v>0</v>
      </c>
      <c r="P555" s="260">
        <v>0</v>
      </c>
      <c r="Q555" s="165">
        <f t="shared" si="300"/>
        <v>0</v>
      </c>
      <c r="R555" s="165"/>
      <c r="S555" s="165"/>
      <c r="T555" s="165"/>
      <c r="U555" s="165"/>
      <c r="V555" s="165"/>
      <c r="W555" s="165"/>
      <c r="X555" s="165">
        <f t="shared" si="299"/>
        <v>0</v>
      </c>
      <c r="Y555" s="301"/>
      <c r="Z555" s="288"/>
      <c r="AA555" s="316"/>
      <c r="AB555" s="329"/>
      <c r="AC555" s="316"/>
    </row>
    <row r="556" spans="1:29" hidden="1" x14ac:dyDescent="0.2">
      <c r="A556" s="6" t="s">
        <v>345</v>
      </c>
      <c r="B556" s="98">
        <v>804</v>
      </c>
      <c r="C556" s="8" t="s">
        <v>56</v>
      </c>
      <c r="D556" s="8" t="s">
        <v>346</v>
      </c>
      <c r="E556" s="9" t="s">
        <v>341</v>
      </c>
      <c r="F556" s="8" t="s">
        <v>334</v>
      </c>
      <c r="G556" s="8" t="s">
        <v>344</v>
      </c>
      <c r="H556" s="31">
        <v>0</v>
      </c>
      <c r="I556" s="31">
        <f t="shared" si="297"/>
        <v>1003610.22</v>
      </c>
      <c r="J556" s="31">
        <v>1003610.22</v>
      </c>
      <c r="K556" s="32"/>
      <c r="L556" s="32"/>
      <c r="M556" s="32"/>
      <c r="N556" s="33">
        <f t="shared" si="298"/>
        <v>1003610.22</v>
      </c>
      <c r="O556" s="31">
        <v>0</v>
      </c>
      <c r="P556" s="260">
        <v>0</v>
      </c>
      <c r="Q556" s="165">
        <f t="shared" si="300"/>
        <v>0</v>
      </c>
      <c r="R556" s="165"/>
      <c r="S556" s="165"/>
      <c r="T556" s="165"/>
      <c r="U556" s="165"/>
      <c r="V556" s="165"/>
      <c r="W556" s="165"/>
      <c r="X556" s="165">
        <f t="shared" si="299"/>
        <v>0</v>
      </c>
      <c r="Y556" s="301"/>
      <c r="Z556" s="288"/>
      <c r="AA556" s="316"/>
      <c r="AB556" s="329"/>
      <c r="AC556" s="316"/>
    </row>
    <row r="557" spans="1:29" ht="15" hidden="1" customHeight="1" x14ac:dyDescent="0.2">
      <c r="A557" s="6" t="s">
        <v>347</v>
      </c>
      <c r="B557" s="98">
        <v>804</v>
      </c>
      <c r="C557" s="8" t="s">
        <v>56</v>
      </c>
      <c r="D557" s="8" t="s">
        <v>348</v>
      </c>
      <c r="E557" s="9" t="s">
        <v>341</v>
      </c>
      <c r="F557" s="8" t="s">
        <v>334</v>
      </c>
      <c r="G557" s="8" t="s">
        <v>349</v>
      </c>
      <c r="H557" s="31">
        <v>0</v>
      </c>
      <c r="I557" s="31">
        <f t="shared" si="297"/>
        <v>0</v>
      </c>
      <c r="J557" s="31"/>
      <c r="K557" s="32"/>
      <c r="L557" s="32">
        <v>0</v>
      </c>
      <c r="M557" s="32"/>
      <c r="N557" s="33">
        <f t="shared" si="298"/>
        <v>0</v>
      </c>
      <c r="O557" s="31">
        <v>0</v>
      </c>
      <c r="P557" s="260">
        <v>0</v>
      </c>
      <c r="Q557" s="165">
        <f t="shared" si="300"/>
        <v>0</v>
      </c>
      <c r="R557" s="165"/>
      <c r="S557" s="165"/>
      <c r="T557" s="165"/>
      <c r="U557" s="165"/>
      <c r="V557" s="165"/>
      <c r="W557" s="165"/>
      <c r="X557" s="165">
        <f t="shared" si="299"/>
        <v>0</v>
      </c>
      <c r="Y557" s="301"/>
      <c r="Z557" s="288"/>
      <c r="AA557" s="316"/>
      <c r="AB557" s="329"/>
      <c r="AC557" s="316"/>
    </row>
    <row r="558" spans="1:29" ht="66.75" hidden="1" customHeight="1" x14ac:dyDescent="0.2">
      <c r="A558" s="337" t="s">
        <v>535</v>
      </c>
      <c r="B558" s="98"/>
      <c r="C558" s="8"/>
      <c r="D558" s="8" t="s">
        <v>521</v>
      </c>
      <c r="E558" s="9" t="s">
        <v>333</v>
      </c>
      <c r="F558" s="8" t="s">
        <v>334</v>
      </c>
      <c r="G558" s="8" t="s">
        <v>335</v>
      </c>
      <c r="H558" s="31"/>
      <c r="I558" s="31"/>
      <c r="J558" s="31"/>
      <c r="K558" s="32"/>
      <c r="L558" s="32"/>
      <c r="M558" s="32"/>
      <c r="N558" s="33"/>
      <c r="O558" s="31"/>
      <c r="P558" s="260">
        <v>0</v>
      </c>
      <c r="Q558" s="165">
        <f t="shared" si="300"/>
        <v>0</v>
      </c>
      <c r="R558" s="165"/>
      <c r="S558" s="165"/>
      <c r="T558" s="165"/>
      <c r="U558" s="165"/>
      <c r="V558" s="165">
        <v>0</v>
      </c>
      <c r="W558" s="165"/>
      <c r="X558" s="165">
        <f t="shared" si="299"/>
        <v>0</v>
      </c>
      <c r="Y558" s="301"/>
      <c r="Z558" s="288"/>
      <c r="AA558" s="316"/>
      <c r="AB558" s="329"/>
      <c r="AC558" s="316"/>
    </row>
    <row r="559" spans="1:29" ht="66" hidden="1" customHeight="1" x14ac:dyDescent="0.2">
      <c r="A559" s="337" t="s">
        <v>536</v>
      </c>
      <c r="B559" s="98"/>
      <c r="C559" s="8"/>
      <c r="D559" s="8" t="s">
        <v>522</v>
      </c>
      <c r="E559" s="9" t="s">
        <v>333</v>
      </c>
      <c r="F559" s="8" t="s">
        <v>334</v>
      </c>
      <c r="G559" s="8" t="s">
        <v>335</v>
      </c>
      <c r="H559" s="31"/>
      <c r="I559" s="31"/>
      <c r="J559" s="31"/>
      <c r="K559" s="32"/>
      <c r="L559" s="32"/>
      <c r="M559" s="32"/>
      <c r="N559" s="33"/>
      <c r="O559" s="31"/>
      <c r="P559" s="260">
        <v>0</v>
      </c>
      <c r="Q559" s="165">
        <f t="shared" si="300"/>
        <v>0</v>
      </c>
      <c r="R559" s="165"/>
      <c r="S559" s="165"/>
      <c r="T559" s="165"/>
      <c r="U559" s="165"/>
      <c r="V559" s="165">
        <v>0</v>
      </c>
      <c r="W559" s="165"/>
      <c r="X559" s="165">
        <f t="shared" si="299"/>
        <v>0</v>
      </c>
      <c r="Y559" s="301"/>
      <c r="Z559" s="288"/>
      <c r="AA559" s="316"/>
      <c r="AB559" s="329"/>
      <c r="AC559" s="316"/>
    </row>
    <row r="560" spans="1:29" ht="69.75" hidden="1" customHeight="1" x14ac:dyDescent="0.2">
      <c r="A560" s="337" t="s">
        <v>537</v>
      </c>
      <c r="B560" s="98"/>
      <c r="C560" s="8"/>
      <c r="D560" s="8" t="s">
        <v>523</v>
      </c>
      <c r="E560" s="9" t="s">
        <v>333</v>
      </c>
      <c r="F560" s="8" t="s">
        <v>334</v>
      </c>
      <c r="G560" s="8" t="s">
        <v>335</v>
      </c>
      <c r="H560" s="31"/>
      <c r="I560" s="31"/>
      <c r="J560" s="31"/>
      <c r="K560" s="32"/>
      <c r="L560" s="32"/>
      <c r="M560" s="32"/>
      <c r="N560" s="33"/>
      <c r="O560" s="31"/>
      <c r="P560" s="260">
        <v>0</v>
      </c>
      <c r="Q560" s="165">
        <f t="shared" si="300"/>
        <v>0</v>
      </c>
      <c r="R560" s="165">
        <v>0</v>
      </c>
      <c r="S560" s="165">
        <v>0</v>
      </c>
      <c r="T560" s="165"/>
      <c r="U560" s="165"/>
      <c r="V560" s="165"/>
      <c r="W560" s="165"/>
      <c r="X560" s="165">
        <f t="shared" si="299"/>
        <v>0</v>
      </c>
      <c r="Y560" s="301"/>
      <c r="Z560" s="288"/>
      <c r="AA560" s="316"/>
      <c r="AB560" s="329"/>
      <c r="AC560" s="316"/>
    </row>
    <row r="561" spans="1:29" ht="66" hidden="1" customHeight="1" x14ac:dyDescent="0.2">
      <c r="A561" s="337" t="s">
        <v>538</v>
      </c>
      <c r="B561" s="98"/>
      <c r="C561" s="8"/>
      <c r="D561" s="8" t="s">
        <v>524</v>
      </c>
      <c r="E561" s="9" t="s">
        <v>333</v>
      </c>
      <c r="F561" s="8" t="s">
        <v>334</v>
      </c>
      <c r="G561" s="8" t="s">
        <v>335</v>
      </c>
      <c r="H561" s="31"/>
      <c r="I561" s="31"/>
      <c r="J561" s="31"/>
      <c r="K561" s="32"/>
      <c r="L561" s="32"/>
      <c r="M561" s="32"/>
      <c r="N561" s="33"/>
      <c r="O561" s="31"/>
      <c r="P561" s="260">
        <v>0</v>
      </c>
      <c r="Q561" s="165">
        <f t="shared" si="300"/>
        <v>0</v>
      </c>
      <c r="R561" s="165">
        <v>0</v>
      </c>
      <c r="S561" s="165"/>
      <c r="T561" s="165"/>
      <c r="U561" s="165"/>
      <c r="V561" s="165"/>
      <c r="W561" s="165"/>
      <c r="X561" s="165">
        <f t="shared" si="299"/>
        <v>0</v>
      </c>
      <c r="Y561" s="301"/>
      <c r="Z561" s="288"/>
      <c r="AA561" s="316"/>
      <c r="AB561" s="329"/>
      <c r="AC561" s="316"/>
    </row>
    <row r="562" spans="1:29" ht="16.5" customHeight="1" x14ac:dyDescent="0.2">
      <c r="A562" s="186" t="s">
        <v>350</v>
      </c>
      <c r="B562" s="187"/>
      <c r="C562" s="188" t="s">
        <v>351</v>
      </c>
      <c r="D562" s="13" t="s">
        <v>18</v>
      </c>
      <c r="E562" s="189" t="s">
        <v>19</v>
      </c>
      <c r="F562" s="188"/>
      <c r="G562" s="188"/>
      <c r="H562" s="116">
        <f t="shared" ref="H562:O562" si="301">H564</f>
        <v>627410</v>
      </c>
      <c r="I562" s="116">
        <f t="shared" si="301"/>
        <v>0</v>
      </c>
      <c r="J562" s="116">
        <f t="shared" si="301"/>
        <v>0</v>
      </c>
      <c r="K562" s="190">
        <f t="shared" si="301"/>
        <v>0</v>
      </c>
      <c r="L562" s="190">
        <f t="shared" si="301"/>
        <v>0</v>
      </c>
      <c r="M562" s="190">
        <f t="shared" si="301"/>
        <v>0</v>
      </c>
      <c r="N562" s="191">
        <f t="shared" si="301"/>
        <v>768247.5</v>
      </c>
      <c r="O562" s="116">
        <f t="shared" si="301"/>
        <v>501928</v>
      </c>
      <c r="P562" s="256">
        <f>P564+P563</f>
        <v>880157.67999999993</v>
      </c>
      <c r="Q562" s="256">
        <f t="shared" ref="Q562:V562" si="302">Q564+Q563</f>
        <v>0</v>
      </c>
      <c r="R562" s="256">
        <f>R564+R563</f>
        <v>0</v>
      </c>
      <c r="S562" s="256">
        <f t="shared" si="302"/>
        <v>0</v>
      </c>
      <c r="T562" s="256">
        <f t="shared" si="302"/>
        <v>0</v>
      </c>
      <c r="U562" s="256">
        <f t="shared" si="302"/>
        <v>0</v>
      </c>
      <c r="V562" s="256">
        <f t="shared" si="302"/>
        <v>0</v>
      </c>
      <c r="W562" s="256"/>
      <c r="X562" s="436">
        <f t="shared" si="299"/>
        <v>880157.67999999993</v>
      </c>
      <c r="Y562" s="379"/>
      <c r="Z562" s="288"/>
      <c r="AA562" s="316"/>
      <c r="AB562" s="385"/>
      <c r="AC562" s="316"/>
    </row>
    <row r="563" spans="1:29" ht="16.5" customHeight="1" x14ac:dyDescent="0.2">
      <c r="A563" s="16" t="s">
        <v>352</v>
      </c>
      <c r="B563" s="17"/>
      <c r="C563" s="18" t="s">
        <v>353</v>
      </c>
      <c r="D563" s="18" t="s">
        <v>464</v>
      </c>
      <c r="E563" s="19" t="s">
        <v>354</v>
      </c>
      <c r="F563" s="18" t="s">
        <v>566</v>
      </c>
      <c r="G563" s="18"/>
      <c r="H563" s="20">
        <f>H564+H571+H581</f>
        <v>812410</v>
      </c>
      <c r="I563" s="20">
        <f t="shared" ref="I563:N564" si="303">SUM(I564:I570)</f>
        <v>0</v>
      </c>
      <c r="J563" s="20">
        <f t="shared" si="303"/>
        <v>0</v>
      </c>
      <c r="K563" s="21">
        <f t="shared" si="303"/>
        <v>0</v>
      </c>
      <c r="L563" s="21">
        <f t="shared" si="303"/>
        <v>0</v>
      </c>
      <c r="M563" s="21">
        <f t="shared" si="303"/>
        <v>0</v>
      </c>
      <c r="N563" s="21">
        <f t="shared" si="303"/>
        <v>1376495</v>
      </c>
      <c r="O563" s="20">
        <f>O564+O571+O581</f>
        <v>649928</v>
      </c>
      <c r="P563" s="257">
        <v>376387.68</v>
      </c>
      <c r="Q563" s="257">
        <f>R563+T563+S563+V563</f>
        <v>0</v>
      </c>
      <c r="R563" s="257">
        <v>0</v>
      </c>
      <c r="S563" s="257">
        <v>0</v>
      </c>
      <c r="T563" s="257">
        <v>0</v>
      </c>
      <c r="U563" s="257">
        <v>0</v>
      </c>
      <c r="V563" s="257">
        <v>0</v>
      </c>
      <c r="W563" s="257"/>
      <c r="X563" s="257">
        <f>P563+Q563</f>
        <v>376387.68</v>
      </c>
      <c r="Y563" s="382"/>
      <c r="Z563" s="288"/>
      <c r="AA563" s="316"/>
      <c r="AB563" s="385"/>
      <c r="AC563" s="316"/>
    </row>
    <row r="564" spans="1:29" x14ac:dyDescent="0.2">
      <c r="A564" s="16" t="s">
        <v>355</v>
      </c>
      <c r="B564" s="17"/>
      <c r="C564" s="18" t="s">
        <v>356</v>
      </c>
      <c r="D564" s="18" t="s">
        <v>18</v>
      </c>
      <c r="E564" s="19" t="s">
        <v>19</v>
      </c>
      <c r="F564" s="18"/>
      <c r="G564" s="18"/>
      <c r="H564" s="20">
        <f>H565+H575+H583</f>
        <v>627410</v>
      </c>
      <c r="I564" s="20">
        <f t="shared" si="303"/>
        <v>0</v>
      </c>
      <c r="J564" s="20">
        <f t="shared" si="303"/>
        <v>0</v>
      </c>
      <c r="K564" s="21">
        <f t="shared" si="303"/>
        <v>0</v>
      </c>
      <c r="L564" s="21">
        <f t="shared" si="303"/>
        <v>0</v>
      </c>
      <c r="M564" s="21">
        <f t="shared" si="303"/>
        <v>0</v>
      </c>
      <c r="N564" s="21">
        <f t="shared" si="303"/>
        <v>768247.5</v>
      </c>
      <c r="O564" s="20">
        <f>O565+O575+O583</f>
        <v>501928</v>
      </c>
      <c r="P564" s="257">
        <f t="shared" ref="P564:V564" si="304">P565+P575+P583+P587+P588</f>
        <v>503770</v>
      </c>
      <c r="Q564" s="257">
        <f t="shared" si="304"/>
        <v>0</v>
      </c>
      <c r="R564" s="257">
        <f t="shared" si="304"/>
        <v>0</v>
      </c>
      <c r="S564" s="257">
        <f t="shared" si="304"/>
        <v>0</v>
      </c>
      <c r="T564" s="257">
        <f t="shared" si="304"/>
        <v>0</v>
      </c>
      <c r="U564" s="257">
        <f t="shared" si="304"/>
        <v>0</v>
      </c>
      <c r="V564" s="257">
        <f t="shared" si="304"/>
        <v>0</v>
      </c>
      <c r="W564" s="257"/>
      <c r="X564" s="257">
        <f>X565+X575+X583+X587+X588</f>
        <v>503770</v>
      </c>
      <c r="Y564" s="382"/>
      <c r="Z564" s="288"/>
      <c r="AA564" s="316"/>
      <c r="AB564" s="385"/>
      <c r="AC564" s="316"/>
    </row>
    <row r="565" spans="1:29" s="206" customFormat="1" ht="38.25" x14ac:dyDescent="0.2">
      <c r="A565" s="200" t="s">
        <v>357</v>
      </c>
      <c r="B565" s="201">
        <v>804</v>
      </c>
      <c r="C565" s="134" t="s">
        <v>356</v>
      </c>
      <c r="D565" s="25" t="s">
        <v>465</v>
      </c>
      <c r="E565" s="134" t="s">
        <v>19</v>
      </c>
      <c r="F565" s="134" t="s">
        <v>19</v>
      </c>
      <c r="G565" s="134" t="s">
        <v>358</v>
      </c>
      <c r="H565" s="202">
        <f>SUM(H566:H571)</f>
        <v>384123.75</v>
      </c>
      <c r="I565" s="203">
        <f t="shared" ref="I565:I571" si="305">SUM(J565:M565)</f>
        <v>17300</v>
      </c>
      <c r="J565" s="204">
        <v>17300</v>
      </c>
      <c r="K565" s="204">
        <v>0</v>
      </c>
      <c r="L565" s="204">
        <v>0</v>
      </c>
      <c r="M565" s="204">
        <v>0</v>
      </c>
      <c r="N565" s="205">
        <f t="shared" ref="N565:N571" si="306">H565+I565</f>
        <v>401423.75</v>
      </c>
      <c r="O565" s="202">
        <f>SUM(O566:O571)</f>
        <v>307299</v>
      </c>
      <c r="P565" s="202">
        <f>P566+P567+P568+P569+P570+P572+P574</f>
        <v>350770</v>
      </c>
      <c r="Q565" s="354">
        <f>Q566+Q567+Q568+Q569+Q570+Q572+Q574</f>
        <v>0</v>
      </c>
      <c r="R565" s="354">
        <f>R566+R567+R568+R569+R570+R572+R574</f>
        <v>0</v>
      </c>
      <c r="S565" s="354">
        <f>SUM(S566:S573)</f>
        <v>0</v>
      </c>
      <c r="T565" s="354">
        <f>SUM(T566:T573)</f>
        <v>0</v>
      </c>
      <c r="U565" s="354">
        <f>SUM(U566:U573)</f>
        <v>0</v>
      </c>
      <c r="V565" s="354">
        <f>SUM(V566:V573)</f>
        <v>0</v>
      </c>
      <c r="W565" s="354"/>
      <c r="X565" s="354">
        <f>X566+X567+X568+X569+X570+X572+X574</f>
        <v>350770</v>
      </c>
      <c r="Y565" s="367"/>
      <c r="Z565" s="288"/>
      <c r="AA565" s="328"/>
      <c r="AB565" s="402"/>
      <c r="AC565" s="328"/>
    </row>
    <row r="566" spans="1:29" x14ac:dyDescent="0.2">
      <c r="A566" s="6" t="s">
        <v>359</v>
      </c>
      <c r="B566" s="7"/>
      <c r="C566" s="8"/>
      <c r="D566" s="8"/>
      <c r="E566" s="9" t="s">
        <v>46</v>
      </c>
      <c r="F566" s="8" t="s">
        <v>48</v>
      </c>
      <c r="G566" s="8" t="s">
        <v>49</v>
      </c>
      <c r="H566" s="31">
        <v>30000</v>
      </c>
      <c r="I566" s="31">
        <f t="shared" si="305"/>
        <v>0</v>
      </c>
      <c r="J566" s="31">
        <v>0</v>
      </c>
      <c r="K566" s="32"/>
      <c r="L566" s="32"/>
      <c r="M566" s="32"/>
      <c r="N566" s="33">
        <f t="shared" si="306"/>
        <v>30000</v>
      </c>
      <c r="O566" s="31">
        <f>30000*80%</f>
        <v>24000</v>
      </c>
      <c r="P566" s="54">
        <v>40000</v>
      </c>
      <c r="Q566" s="165">
        <f>R566+S566+T566+U566+V566</f>
        <v>0</v>
      </c>
      <c r="R566" s="165"/>
      <c r="S566" s="165"/>
      <c r="T566" s="165"/>
      <c r="U566" s="165"/>
      <c r="V566" s="165"/>
      <c r="W566" s="165"/>
      <c r="X566" s="165">
        <f t="shared" ref="X566:X574" si="307">P566+Q566</f>
        <v>40000</v>
      </c>
      <c r="Y566" s="301"/>
      <c r="Z566" s="288"/>
      <c r="AA566" s="316"/>
      <c r="AB566" s="329"/>
      <c r="AC566" s="316"/>
    </row>
    <row r="567" spans="1:29" x14ac:dyDescent="0.2">
      <c r="A567" s="207" t="s">
        <v>57</v>
      </c>
      <c r="B567" s="7"/>
      <c r="C567" s="8"/>
      <c r="D567" s="8"/>
      <c r="E567" s="9" t="s">
        <v>46</v>
      </c>
      <c r="F567" s="8" t="s">
        <v>58</v>
      </c>
      <c r="G567" s="8" t="s">
        <v>64</v>
      </c>
      <c r="H567" s="31">
        <v>40000</v>
      </c>
      <c r="I567" s="31">
        <f t="shared" si="305"/>
        <v>0</v>
      </c>
      <c r="J567" s="31">
        <v>0</v>
      </c>
      <c r="K567" s="32">
        <v>0</v>
      </c>
      <c r="L567" s="32">
        <v>0</v>
      </c>
      <c r="M567" s="32">
        <v>0</v>
      </c>
      <c r="N567" s="33">
        <f t="shared" si="306"/>
        <v>40000</v>
      </c>
      <c r="O567" s="31">
        <f>40000*80%</f>
        <v>32000</v>
      </c>
      <c r="P567" s="54">
        <f>135000-35000</f>
        <v>100000</v>
      </c>
      <c r="Q567" s="165">
        <f t="shared" ref="Q567:Q574" si="308">R567+S567+T567+U567+V567</f>
        <v>0</v>
      </c>
      <c r="R567" s="165">
        <v>0</v>
      </c>
      <c r="S567" s="165"/>
      <c r="T567" s="165"/>
      <c r="U567" s="165"/>
      <c r="V567" s="165"/>
      <c r="W567" s="165"/>
      <c r="X567" s="165">
        <f t="shared" si="307"/>
        <v>100000</v>
      </c>
      <c r="Y567" s="301"/>
      <c r="Z567" s="288"/>
      <c r="AA567" s="316"/>
      <c r="AB567" s="329"/>
      <c r="AC567" s="316"/>
    </row>
    <row r="568" spans="1:29" x14ac:dyDescent="0.2">
      <c r="A568" s="207" t="s">
        <v>360</v>
      </c>
      <c r="B568" s="7"/>
      <c r="C568" s="8"/>
      <c r="D568" s="8"/>
      <c r="E568" s="9" t="s">
        <v>112</v>
      </c>
      <c r="F568" s="8" t="s">
        <v>361</v>
      </c>
      <c r="G568" s="8" t="s">
        <v>362</v>
      </c>
      <c r="H568" s="31">
        <f>109623.75+20000</f>
        <v>129623.75</v>
      </c>
      <c r="I568" s="31">
        <f t="shared" si="305"/>
        <v>-17300</v>
      </c>
      <c r="J568" s="31">
        <v>-17300</v>
      </c>
      <c r="K568" s="32"/>
      <c r="L568" s="32"/>
      <c r="M568" s="32"/>
      <c r="N568" s="33">
        <f t="shared" si="306"/>
        <v>112323.75</v>
      </c>
      <c r="O568" s="31">
        <f>(109623.75+20000)*80%</f>
        <v>103699</v>
      </c>
      <c r="P568" s="54">
        <v>50000</v>
      </c>
      <c r="Q568" s="165">
        <f t="shared" si="308"/>
        <v>0</v>
      </c>
      <c r="R568" s="165">
        <v>0</v>
      </c>
      <c r="S568" s="165"/>
      <c r="T568" s="165"/>
      <c r="U568" s="165"/>
      <c r="V568" s="165"/>
      <c r="W568" s="165"/>
      <c r="X568" s="165">
        <f t="shared" si="307"/>
        <v>50000</v>
      </c>
      <c r="Y568" s="301"/>
      <c r="Z568" s="288"/>
      <c r="AA568" s="316"/>
      <c r="AB568" s="329"/>
      <c r="AC568" s="316"/>
    </row>
    <row r="569" spans="1:29" x14ac:dyDescent="0.2">
      <c r="A569" s="207" t="s">
        <v>360</v>
      </c>
      <c r="B569" s="7"/>
      <c r="C569" s="8"/>
      <c r="D569" s="8"/>
      <c r="E569" s="9" t="s">
        <v>160</v>
      </c>
      <c r="F569" s="8" t="s">
        <v>361</v>
      </c>
      <c r="G569" s="8" t="s">
        <v>409</v>
      </c>
      <c r="H569" s="31"/>
      <c r="I569" s="31"/>
      <c r="J569" s="31"/>
      <c r="K569" s="32"/>
      <c r="L569" s="32"/>
      <c r="M569" s="32"/>
      <c r="N569" s="33"/>
      <c r="O569" s="31"/>
      <c r="P569" s="54">
        <v>30000</v>
      </c>
      <c r="Q569" s="165">
        <f t="shared" si="308"/>
        <v>0</v>
      </c>
      <c r="R569" s="165"/>
      <c r="S569" s="165"/>
      <c r="T569" s="165"/>
      <c r="U569" s="165"/>
      <c r="V569" s="165"/>
      <c r="W569" s="165"/>
      <c r="X569" s="165">
        <f t="shared" si="307"/>
        <v>30000</v>
      </c>
      <c r="Y569" s="301"/>
      <c r="Z569" s="288"/>
      <c r="AA569" s="316"/>
      <c r="AB569" s="329"/>
      <c r="AC569" s="316"/>
    </row>
    <row r="570" spans="1:29" ht="25.5" x14ac:dyDescent="0.2">
      <c r="A570" s="207" t="s">
        <v>363</v>
      </c>
      <c r="B570" s="7"/>
      <c r="C570" s="8"/>
      <c r="D570" s="8"/>
      <c r="E570" s="9" t="s">
        <v>46</v>
      </c>
      <c r="F570" s="297" t="s">
        <v>556</v>
      </c>
      <c r="G570" s="297" t="s">
        <v>165</v>
      </c>
      <c r="H570" s="165">
        <v>24500</v>
      </c>
      <c r="I570" s="165">
        <f t="shared" si="305"/>
        <v>0</v>
      </c>
      <c r="J570" s="165">
        <v>0</v>
      </c>
      <c r="K570" s="301">
        <v>0</v>
      </c>
      <c r="L570" s="301">
        <v>0</v>
      </c>
      <c r="M570" s="301">
        <v>0</v>
      </c>
      <c r="N570" s="293">
        <f t="shared" si="306"/>
        <v>24500</v>
      </c>
      <c r="O570" s="165">
        <f>24500*80%</f>
        <v>19600</v>
      </c>
      <c r="P570" s="54">
        <v>23500</v>
      </c>
      <c r="Q570" s="165">
        <f t="shared" si="308"/>
        <v>0</v>
      </c>
      <c r="R570" s="165"/>
      <c r="S570" s="165"/>
      <c r="T570" s="165"/>
      <c r="U570" s="165"/>
      <c r="V570" s="165"/>
      <c r="W570" s="165"/>
      <c r="X570" s="165">
        <f t="shared" si="307"/>
        <v>23500</v>
      </c>
      <c r="Y570" s="301"/>
      <c r="Z570" s="288"/>
      <c r="AA570" s="316"/>
      <c r="AB570" s="329"/>
      <c r="AC570" s="316"/>
    </row>
    <row r="571" spans="1:29" hidden="1" x14ac:dyDescent="0.2">
      <c r="A571" s="207" t="s">
        <v>65</v>
      </c>
      <c r="B571" s="7"/>
      <c r="C571" s="8"/>
      <c r="D571" s="8"/>
      <c r="E571" s="9" t="s">
        <v>46</v>
      </c>
      <c r="F571" s="297" t="s">
        <v>66</v>
      </c>
      <c r="G571" s="297" t="s">
        <v>69</v>
      </c>
      <c r="H571" s="165">
        <f>40000+150000-30000</f>
        <v>160000</v>
      </c>
      <c r="I571" s="165">
        <f t="shared" si="305"/>
        <v>0</v>
      </c>
      <c r="J571" s="165">
        <v>0</v>
      </c>
      <c r="K571" s="301">
        <v>0</v>
      </c>
      <c r="L571" s="301">
        <v>0</v>
      </c>
      <c r="M571" s="301">
        <v>0</v>
      </c>
      <c r="N571" s="293">
        <f t="shared" si="306"/>
        <v>160000</v>
      </c>
      <c r="O571" s="165">
        <f>(40000+150000-30000)*80%</f>
        <v>128000</v>
      </c>
      <c r="P571" s="54">
        <v>0</v>
      </c>
      <c r="Q571" s="165">
        <f t="shared" si="308"/>
        <v>0</v>
      </c>
      <c r="R571" s="165"/>
      <c r="S571" s="165"/>
      <c r="T571" s="165"/>
      <c r="U571" s="165"/>
      <c r="V571" s="165"/>
      <c r="W571" s="165"/>
      <c r="X571" s="165">
        <f t="shared" si="307"/>
        <v>0</v>
      </c>
      <c r="Y571" s="301"/>
      <c r="Z571" s="288"/>
      <c r="AA571" s="316"/>
      <c r="AB571" s="329"/>
      <c r="AC571" s="316"/>
    </row>
    <row r="572" spans="1:29" x14ac:dyDescent="0.2">
      <c r="A572" s="295" t="s">
        <v>434</v>
      </c>
      <c r="B572" s="7"/>
      <c r="C572" s="8"/>
      <c r="D572" s="8"/>
      <c r="E572" s="9" t="s">
        <v>429</v>
      </c>
      <c r="F572" s="297" t="s">
        <v>361</v>
      </c>
      <c r="G572" s="297" t="s">
        <v>362</v>
      </c>
      <c r="H572" s="165"/>
      <c r="I572" s="165"/>
      <c r="J572" s="165"/>
      <c r="K572" s="301"/>
      <c r="L572" s="301"/>
      <c r="M572" s="301"/>
      <c r="N572" s="365"/>
      <c r="O572" s="165"/>
      <c r="P572" s="54">
        <f>72270+35000</f>
        <v>107270</v>
      </c>
      <c r="Q572" s="165">
        <f t="shared" si="308"/>
        <v>0</v>
      </c>
      <c r="R572" s="165">
        <v>0</v>
      </c>
      <c r="S572" s="165"/>
      <c r="T572" s="165"/>
      <c r="U572" s="165"/>
      <c r="V572" s="165"/>
      <c r="W572" s="165"/>
      <c r="X572" s="165">
        <f t="shared" si="307"/>
        <v>107270</v>
      </c>
      <c r="Y572" s="301"/>
      <c r="Z572" s="288"/>
      <c r="AA572" s="316"/>
      <c r="AB572" s="329"/>
      <c r="AC572" s="316"/>
    </row>
    <row r="573" spans="1:29" ht="14.25" hidden="1" customHeight="1" x14ac:dyDescent="0.2">
      <c r="A573" s="295" t="s">
        <v>435</v>
      </c>
      <c r="B573" s="7"/>
      <c r="C573" s="8"/>
      <c r="D573" s="8"/>
      <c r="E573" s="9" t="s">
        <v>429</v>
      </c>
      <c r="F573" s="297" t="s">
        <v>77</v>
      </c>
      <c r="G573" s="297" t="s">
        <v>79</v>
      </c>
      <c r="H573" s="165"/>
      <c r="I573" s="165"/>
      <c r="J573" s="165"/>
      <c r="K573" s="301"/>
      <c r="L573" s="301"/>
      <c r="M573" s="301"/>
      <c r="N573" s="365"/>
      <c r="O573" s="165"/>
      <c r="P573" s="54">
        <v>0</v>
      </c>
      <c r="Q573" s="165">
        <f t="shared" si="308"/>
        <v>0</v>
      </c>
      <c r="R573" s="165">
        <v>0</v>
      </c>
      <c r="S573" s="165"/>
      <c r="T573" s="165"/>
      <c r="U573" s="165"/>
      <c r="V573" s="165"/>
      <c r="W573" s="165"/>
      <c r="X573" s="165">
        <f t="shared" si="307"/>
        <v>0</v>
      </c>
      <c r="Y573" s="301"/>
      <c r="Z573" s="288"/>
      <c r="AA573" s="316"/>
      <c r="AB573" s="329"/>
      <c r="AC573" s="316"/>
    </row>
    <row r="574" spans="1:29" ht="28.5" hidden="1" customHeight="1" x14ac:dyDescent="0.2">
      <c r="A574" s="295" t="s">
        <v>543</v>
      </c>
      <c r="B574" s="7"/>
      <c r="C574" s="8"/>
      <c r="D574" s="8"/>
      <c r="E574" s="9" t="s">
        <v>429</v>
      </c>
      <c r="F574" s="297" t="s">
        <v>77</v>
      </c>
      <c r="G574" s="297" t="s">
        <v>79</v>
      </c>
      <c r="H574" s="165"/>
      <c r="I574" s="165"/>
      <c r="J574" s="165"/>
      <c r="K574" s="301"/>
      <c r="L574" s="301"/>
      <c r="M574" s="301"/>
      <c r="N574" s="365"/>
      <c r="O574" s="165"/>
      <c r="P574" s="54">
        <v>0</v>
      </c>
      <c r="Q574" s="165">
        <f t="shared" si="308"/>
        <v>0</v>
      </c>
      <c r="R574" s="165">
        <v>0</v>
      </c>
      <c r="S574" s="165"/>
      <c r="T574" s="165"/>
      <c r="U574" s="165"/>
      <c r="V574" s="165"/>
      <c r="W574" s="165"/>
      <c r="X574" s="165">
        <f t="shared" si="307"/>
        <v>0</v>
      </c>
      <c r="Y574" s="301"/>
      <c r="Z574" s="288"/>
      <c r="AA574" s="316"/>
      <c r="AB574" s="329"/>
      <c r="AC574" s="316"/>
    </row>
    <row r="575" spans="1:29" s="206" customFormat="1" ht="24" customHeight="1" x14ac:dyDescent="0.2">
      <c r="A575" s="208" t="s">
        <v>364</v>
      </c>
      <c r="B575" s="79">
        <v>804</v>
      </c>
      <c r="C575" s="25" t="s">
        <v>356</v>
      </c>
      <c r="D575" s="25" t="s">
        <v>466</v>
      </c>
      <c r="E575" s="26" t="s">
        <v>19</v>
      </c>
      <c r="F575" s="89" t="s">
        <v>19</v>
      </c>
      <c r="G575" s="89" t="s">
        <v>358</v>
      </c>
      <c r="H575" s="354">
        <f>SUM(H576:H581)</f>
        <v>151774.25</v>
      </c>
      <c r="I575" s="253"/>
      <c r="J575" s="253"/>
      <c r="K575" s="367"/>
      <c r="L575" s="367"/>
      <c r="M575" s="367"/>
      <c r="N575" s="368"/>
      <c r="O575" s="354">
        <f>SUM(O576:O581)</f>
        <v>121419.4</v>
      </c>
      <c r="P575" s="202">
        <f>SUM(P576:P586)</f>
        <v>153000</v>
      </c>
      <c r="Q575" s="354">
        <f t="shared" ref="Q575:V575" si="309">SUM(Q576:Q586)</f>
        <v>0</v>
      </c>
      <c r="R575" s="354">
        <f t="shared" si="309"/>
        <v>0</v>
      </c>
      <c r="S575" s="354">
        <f t="shared" si="309"/>
        <v>0</v>
      </c>
      <c r="T575" s="354">
        <f t="shared" si="309"/>
        <v>0</v>
      </c>
      <c r="U575" s="354">
        <f t="shared" si="309"/>
        <v>0</v>
      </c>
      <c r="V575" s="354">
        <f t="shared" si="309"/>
        <v>0</v>
      </c>
      <c r="W575" s="354"/>
      <c r="X575" s="354">
        <f>SUM(X576:X586)</f>
        <v>153000</v>
      </c>
      <c r="Y575" s="367"/>
      <c r="Z575" s="288"/>
      <c r="AA575" s="328"/>
      <c r="AB575" s="402"/>
      <c r="AC575" s="328"/>
    </row>
    <row r="576" spans="1:29" x14ac:dyDescent="0.2">
      <c r="A576" s="6" t="s">
        <v>359</v>
      </c>
      <c r="B576" s="7"/>
      <c r="C576" s="8"/>
      <c r="D576" s="8"/>
      <c r="E576" s="9" t="s">
        <v>46</v>
      </c>
      <c r="F576" s="297" t="s">
        <v>48</v>
      </c>
      <c r="G576" s="297" t="s">
        <v>49</v>
      </c>
      <c r="H576" s="165">
        <v>30000</v>
      </c>
      <c r="I576" s="165"/>
      <c r="J576" s="165"/>
      <c r="K576" s="301"/>
      <c r="L576" s="301"/>
      <c r="M576" s="301"/>
      <c r="N576" s="365"/>
      <c r="O576" s="165">
        <f>30000*80%</f>
        <v>24000</v>
      </c>
      <c r="P576" s="54">
        <v>27000</v>
      </c>
      <c r="Q576" s="165">
        <f>R576+S576+T576+U576+V576</f>
        <v>0</v>
      </c>
      <c r="R576" s="165"/>
      <c r="S576" s="165"/>
      <c r="T576" s="165"/>
      <c r="U576" s="165"/>
      <c r="V576" s="165"/>
      <c r="W576" s="165"/>
      <c r="X576" s="165">
        <f t="shared" ref="X576:X588" si="310">P576+Q576</f>
        <v>27000</v>
      </c>
      <c r="Y576" s="301"/>
      <c r="Z576" s="288"/>
      <c r="AA576" s="316"/>
      <c r="AB576" s="329"/>
      <c r="AC576" s="316"/>
    </row>
    <row r="577" spans="1:29" hidden="1" x14ac:dyDescent="0.2">
      <c r="A577" s="207" t="s">
        <v>57</v>
      </c>
      <c r="B577" s="7"/>
      <c r="C577" s="8"/>
      <c r="D577" s="8"/>
      <c r="E577" s="9" t="s">
        <v>46</v>
      </c>
      <c r="F577" s="297" t="s">
        <v>58</v>
      </c>
      <c r="G577" s="297" t="s">
        <v>64</v>
      </c>
      <c r="H577" s="165">
        <v>10000</v>
      </c>
      <c r="I577" s="165"/>
      <c r="J577" s="165"/>
      <c r="K577" s="301"/>
      <c r="L577" s="301"/>
      <c r="M577" s="301"/>
      <c r="N577" s="365"/>
      <c r="O577" s="165">
        <f>10000*80%</f>
        <v>8000</v>
      </c>
      <c r="P577" s="54">
        <v>0</v>
      </c>
      <c r="Q577" s="165">
        <f t="shared" ref="Q577:Q581" si="311">R577+S577+T577+U577+V577</f>
        <v>0</v>
      </c>
      <c r="R577" s="165"/>
      <c r="S577" s="165"/>
      <c r="T577" s="165"/>
      <c r="U577" s="165"/>
      <c r="V577" s="165"/>
      <c r="W577" s="165"/>
      <c r="X577" s="165">
        <f t="shared" si="310"/>
        <v>0</v>
      </c>
      <c r="Y577" s="301"/>
      <c r="Z577" s="288"/>
      <c r="AA577" s="316"/>
      <c r="AB577" s="329"/>
      <c r="AC577" s="316"/>
    </row>
    <row r="578" spans="1:29" x14ac:dyDescent="0.2">
      <c r="A578" s="207" t="s">
        <v>360</v>
      </c>
      <c r="B578" s="7"/>
      <c r="C578" s="8"/>
      <c r="D578" s="8"/>
      <c r="E578" s="9" t="s">
        <v>112</v>
      </c>
      <c r="F578" s="297" t="s">
        <v>361</v>
      </c>
      <c r="G578" s="297" t="s">
        <v>362</v>
      </c>
      <c r="H578" s="165">
        <f>21924.75+21924.75+21924.75</f>
        <v>65774.25</v>
      </c>
      <c r="I578" s="165"/>
      <c r="J578" s="165"/>
      <c r="K578" s="301"/>
      <c r="L578" s="301"/>
      <c r="M578" s="301"/>
      <c r="N578" s="365"/>
      <c r="O578" s="165">
        <f>(21924.75+21924.75+21924.75)*80%</f>
        <v>52619.4</v>
      </c>
      <c r="P578" s="54">
        <v>75000</v>
      </c>
      <c r="Q578" s="165">
        <f t="shared" si="311"/>
        <v>0</v>
      </c>
      <c r="R578" s="165"/>
      <c r="S578" s="165"/>
      <c r="T578" s="165"/>
      <c r="U578" s="165"/>
      <c r="V578" s="165"/>
      <c r="W578" s="165"/>
      <c r="X578" s="165">
        <f t="shared" si="310"/>
        <v>75000</v>
      </c>
      <c r="Y578" s="301"/>
      <c r="Z578" s="288"/>
      <c r="AA578" s="316"/>
      <c r="AB578" s="329"/>
      <c r="AC578" s="316"/>
    </row>
    <row r="579" spans="1:29" ht="25.5" x14ac:dyDescent="0.2">
      <c r="A579" s="207" t="s">
        <v>363</v>
      </c>
      <c r="B579" s="7"/>
      <c r="C579" s="8"/>
      <c r="D579" s="8"/>
      <c r="E579" s="9" t="s">
        <v>46</v>
      </c>
      <c r="F579" s="297" t="s">
        <v>556</v>
      </c>
      <c r="G579" s="297" t="s">
        <v>165</v>
      </c>
      <c r="H579" s="165">
        <v>21000</v>
      </c>
      <c r="I579" s="165"/>
      <c r="J579" s="165"/>
      <c r="K579" s="301"/>
      <c r="L579" s="301"/>
      <c r="M579" s="301"/>
      <c r="N579" s="365"/>
      <c r="O579" s="165">
        <f>21000*80%</f>
        <v>16800</v>
      </c>
      <c r="P579" s="54">
        <v>14598</v>
      </c>
      <c r="Q579" s="165">
        <f t="shared" si="311"/>
        <v>0</v>
      </c>
      <c r="R579" s="165">
        <v>0</v>
      </c>
      <c r="S579" s="165"/>
      <c r="T579" s="165"/>
      <c r="U579" s="165"/>
      <c r="V579" s="165"/>
      <c r="W579" s="165"/>
      <c r="X579" s="165">
        <f t="shared" si="310"/>
        <v>14598</v>
      </c>
      <c r="Y579" s="301"/>
      <c r="Z579" s="288"/>
      <c r="AA579" s="316"/>
      <c r="AB579" s="329"/>
      <c r="AC579" s="316"/>
    </row>
    <row r="580" spans="1:29" hidden="1" x14ac:dyDescent="0.2">
      <c r="A580" s="207" t="s">
        <v>57</v>
      </c>
      <c r="B580" s="7"/>
      <c r="C580" s="8"/>
      <c r="D580" s="8"/>
      <c r="E580" s="9" t="s">
        <v>46</v>
      </c>
      <c r="F580" s="297" t="s">
        <v>58</v>
      </c>
      <c r="G580" s="297" t="s">
        <v>64</v>
      </c>
      <c r="H580" s="165"/>
      <c r="I580" s="165"/>
      <c r="J580" s="165"/>
      <c r="K580" s="301"/>
      <c r="L580" s="301"/>
      <c r="M580" s="301"/>
      <c r="N580" s="365"/>
      <c r="O580" s="165"/>
      <c r="P580" s="54">
        <v>0</v>
      </c>
      <c r="Q580" s="165">
        <f t="shared" si="311"/>
        <v>0</v>
      </c>
      <c r="R580" s="165">
        <v>0</v>
      </c>
      <c r="S580" s="165"/>
      <c r="T580" s="165"/>
      <c r="U580" s="165"/>
      <c r="V580" s="165"/>
      <c r="W580" s="165"/>
      <c r="X580" s="165">
        <f t="shared" si="310"/>
        <v>0</v>
      </c>
      <c r="Y580" s="301"/>
      <c r="Z580" s="288"/>
      <c r="AA580" s="316"/>
      <c r="AB580" s="329"/>
      <c r="AC580" s="316"/>
    </row>
    <row r="581" spans="1:29" x14ac:dyDescent="0.2">
      <c r="A581" s="207" t="s">
        <v>65</v>
      </c>
      <c r="B581" s="7"/>
      <c r="C581" s="8"/>
      <c r="D581" s="8"/>
      <c r="E581" s="9" t="s">
        <v>46</v>
      </c>
      <c r="F581" s="297" t="s">
        <v>493</v>
      </c>
      <c r="G581" s="297" t="s">
        <v>69</v>
      </c>
      <c r="H581" s="165">
        <f>25000</f>
        <v>25000</v>
      </c>
      <c r="I581" s="165"/>
      <c r="J581" s="165"/>
      <c r="K581" s="301"/>
      <c r="L581" s="301"/>
      <c r="M581" s="301"/>
      <c r="N581" s="365"/>
      <c r="O581" s="165">
        <f>25000*80%</f>
        <v>20000</v>
      </c>
      <c r="P581" s="54">
        <v>25000</v>
      </c>
      <c r="Q581" s="165">
        <f t="shared" si="311"/>
        <v>0</v>
      </c>
      <c r="R581" s="165"/>
      <c r="S581" s="165"/>
      <c r="T581" s="165"/>
      <c r="U581" s="165"/>
      <c r="V581" s="165"/>
      <c r="W581" s="165"/>
      <c r="X581" s="165">
        <f t="shared" si="310"/>
        <v>25000</v>
      </c>
      <c r="Y581" s="301"/>
      <c r="Z581" s="288"/>
      <c r="AA581" s="316"/>
      <c r="AB581" s="329"/>
      <c r="AC581" s="316"/>
    </row>
    <row r="582" spans="1:29" hidden="1" x14ac:dyDescent="0.2">
      <c r="A582" s="295" t="s">
        <v>436</v>
      </c>
      <c r="B582" s="7"/>
      <c r="C582" s="8"/>
      <c r="D582" s="8"/>
      <c r="E582" s="9" t="s">
        <v>46</v>
      </c>
      <c r="F582" s="8" t="s">
        <v>77</v>
      </c>
      <c r="G582" s="8" t="s">
        <v>81</v>
      </c>
      <c r="H582" s="31"/>
      <c r="I582" s="31"/>
      <c r="J582" s="31"/>
      <c r="K582" s="32"/>
      <c r="L582" s="32"/>
      <c r="M582" s="32"/>
      <c r="N582" s="55"/>
      <c r="O582" s="31"/>
      <c r="P582" s="54">
        <v>0</v>
      </c>
      <c r="Q582" s="165">
        <f t="shared" ref="Q582:Q588" si="312">R582+S582+T582+U582</f>
        <v>0</v>
      </c>
      <c r="R582" s="165">
        <v>0</v>
      </c>
      <c r="S582" s="165"/>
      <c r="T582" s="165"/>
      <c r="U582" s="165"/>
      <c r="V582" s="165"/>
      <c r="W582" s="165"/>
      <c r="X582" s="165">
        <f t="shared" si="310"/>
        <v>0</v>
      </c>
      <c r="Y582" s="301"/>
      <c r="Z582" s="288"/>
      <c r="AA582" s="316"/>
      <c r="AB582" s="329"/>
      <c r="AC582" s="316"/>
    </row>
    <row r="583" spans="1:29" s="94" customFormat="1" ht="25.5" hidden="1" customHeight="1" x14ac:dyDescent="0.2">
      <c r="A583" s="208" t="s">
        <v>151</v>
      </c>
      <c r="B583" s="79">
        <v>804</v>
      </c>
      <c r="C583" s="25" t="s">
        <v>356</v>
      </c>
      <c r="D583" s="43" t="s">
        <v>365</v>
      </c>
      <c r="E583" s="26"/>
      <c r="F583" s="25"/>
      <c r="G583" s="25"/>
      <c r="H583" s="27">
        <f>H584</f>
        <v>91512</v>
      </c>
      <c r="I583" s="27"/>
      <c r="J583" s="27"/>
      <c r="K583" s="28"/>
      <c r="L583" s="28"/>
      <c r="M583" s="28"/>
      <c r="N583" s="209"/>
      <c r="O583" s="27">
        <f>O584</f>
        <v>73209.600000000006</v>
      </c>
      <c r="P583" s="438">
        <f>P584+P585</f>
        <v>0</v>
      </c>
      <c r="Q583" s="315">
        <f t="shared" si="312"/>
        <v>0</v>
      </c>
      <c r="R583" s="124">
        <f>R584+R585</f>
        <v>0</v>
      </c>
      <c r="S583" s="124">
        <f>S584+S585</f>
        <v>0</v>
      </c>
      <c r="T583" s="124">
        <f>T584+T585</f>
        <v>0</v>
      </c>
      <c r="U583" s="124">
        <f>U584+U585</f>
        <v>0</v>
      </c>
      <c r="V583" s="124"/>
      <c r="W583" s="124"/>
      <c r="X583" s="165">
        <f t="shared" si="310"/>
        <v>0</v>
      </c>
      <c r="Y583" s="359"/>
      <c r="Z583" s="288"/>
      <c r="AA583" s="321"/>
      <c r="AB583" s="386"/>
      <c r="AC583" s="321"/>
    </row>
    <row r="584" spans="1:29" ht="39" hidden="1" customHeight="1" x14ac:dyDescent="0.2">
      <c r="A584" s="6" t="s">
        <v>422</v>
      </c>
      <c r="B584" s="7"/>
      <c r="C584" s="8"/>
      <c r="D584" s="8" t="s">
        <v>365</v>
      </c>
      <c r="E584" s="9" t="s">
        <v>46</v>
      </c>
      <c r="F584" s="8" t="s">
        <v>66</v>
      </c>
      <c r="G584" s="8" t="s">
        <v>165</v>
      </c>
      <c r="H584" s="31">
        <f>183024/2</f>
        <v>91512</v>
      </c>
      <c r="I584" s="31"/>
      <c r="J584" s="31"/>
      <c r="K584" s="32"/>
      <c r="L584" s="32"/>
      <c r="M584" s="32"/>
      <c r="N584" s="55"/>
      <c r="O584" s="31">
        <f>(183024/2)*80%</f>
        <v>73209.600000000006</v>
      </c>
      <c r="P584" s="54">
        <v>0</v>
      </c>
      <c r="Q584" s="165">
        <f t="shared" si="312"/>
        <v>0</v>
      </c>
      <c r="R584" s="165">
        <v>0</v>
      </c>
      <c r="S584" s="165"/>
      <c r="T584" s="165"/>
      <c r="U584" s="165"/>
      <c r="V584" s="165"/>
      <c r="W584" s="165"/>
      <c r="X584" s="165">
        <f t="shared" si="310"/>
        <v>0</v>
      </c>
      <c r="Y584" s="301"/>
      <c r="Z584" s="288"/>
      <c r="AA584" s="316"/>
      <c r="AB584" s="329"/>
      <c r="AC584" s="316"/>
    </row>
    <row r="585" spans="1:29" ht="39" hidden="1" customHeight="1" x14ac:dyDescent="0.2">
      <c r="A585" s="6" t="s">
        <v>422</v>
      </c>
      <c r="B585" s="7"/>
      <c r="C585" s="8"/>
      <c r="D585" s="8" t="s">
        <v>365</v>
      </c>
      <c r="E585" s="9" t="s">
        <v>160</v>
      </c>
      <c r="F585" s="8" t="s">
        <v>66</v>
      </c>
      <c r="G585" s="8" t="s">
        <v>69</v>
      </c>
      <c r="H585" s="31"/>
      <c r="I585" s="31"/>
      <c r="J585" s="31"/>
      <c r="K585" s="32"/>
      <c r="L585" s="32"/>
      <c r="M585" s="32"/>
      <c r="N585" s="55"/>
      <c r="O585" s="31"/>
      <c r="P585" s="54">
        <v>0</v>
      </c>
      <c r="Q585" s="165">
        <f t="shared" si="312"/>
        <v>0</v>
      </c>
      <c r="R585" s="165">
        <v>0</v>
      </c>
      <c r="S585" s="165"/>
      <c r="T585" s="165"/>
      <c r="U585" s="165"/>
      <c r="V585" s="165"/>
      <c r="W585" s="165"/>
      <c r="X585" s="165">
        <f t="shared" si="310"/>
        <v>0</v>
      </c>
      <c r="Y585" s="301"/>
      <c r="Z585" s="288"/>
      <c r="AA585" s="316"/>
      <c r="AB585" s="329"/>
      <c r="AC585" s="316"/>
    </row>
    <row r="586" spans="1:29" ht="39" customHeight="1" x14ac:dyDescent="0.2">
      <c r="A586" s="40" t="s">
        <v>327</v>
      </c>
      <c r="B586" s="7"/>
      <c r="C586" s="8"/>
      <c r="D586" s="8"/>
      <c r="E586" s="9" t="s">
        <v>46</v>
      </c>
      <c r="F586" s="8" t="s">
        <v>554</v>
      </c>
      <c r="G586" s="8" t="s">
        <v>81</v>
      </c>
      <c r="H586" s="31"/>
      <c r="I586" s="31"/>
      <c r="J586" s="31"/>
      <c r="K586" s="32"/>
      <c r="L586" s="32"/>
      <c r="M586" s="32"/>
      <c r="N586" s="55"/>
      <c r="O586" s="31"/>
      <c r="P586" s="54">
        <v>11402</v>
      </c>
      <c r="Q586" s="165">
        <f t="shared" si="312"/>
        <v>0</v>
      </c>
      <c r="R586" s="165">
        <v>0</v>
      </c>
      <c r="S586" s="165"/>
      <c r="T586" s="165"/>
      <c r="U586" s="165"/>
      <c r="V586" s="165"/>
      <c r="W586" s="165"/>
      <c r="X586" s="165">
        <f t="shared" si="310"/>
        <v>11402</v>
      </c>
      <c r="Y586" s="301"/>
      <c r="Z586" s="288"/>
      <c r="AA586" s="316"/>
      <c r="AB586" s="329"/>
      <c r="AC586" s="316"/>
    </row>
    <row r="587" spans="1:29" ht="39" hidden="1" customHeight="1" x14ac:dyDescent="0.2">
      <c r="A587" s="200" t="s">
        <v>360</v>
      </c>
      <c r="B587" s="42"/>
      <c r="C587" s="43" t="s">
        <v>356</v>
      </c>
      <c r="D587" s="43" t="s">
        <v>365</v>
      </c>
      <c r="E587" s="44" t="s">
        <v>429</v>
      </c>
      <c r="F587" s="43" t="s">
        <v>361</v>
      </c>
      <c r="G587" s="43" t="s">
        <v>362</v>
      </c>
      <c r="H587" s="45"/>
      <c r="I587" s="45"/>
      <c r="J587" s="45"/>
      <c r="K587" s="46"/>
      <c r="L587" s="46"/>
      <c r="M587" s="46"/>
      <c r="N587" s="313"/>
      <c r="O587" s="45"/>
      <c r="P587" s="353">
        <v>0</v>
      </c>
      <c r="Q587" s="315">
        <f t="shared" si="312"/>
        <v>0</v>
      </c>
      <c r="R587" s="315">
        <v>0</v>
      </c>
      <c r="S587" s="315"/>
      <c r="T587" s="315"/>
      <c r="U587" s="315"/>
      <c r="V587" s="315"/>
      <c r="W587" s="315"/>
      <c r="X587" s="165">
        <f t="shared" si="310"/>
        <v>0</v>
      </c>
      <c r="Y587" s="301"/>
      <c r="Z587" s="288"/>
      <c r="AA587" s="316"/>
      <c r="AB587" s="329"/>
      <c r="AC587" s="316"/>
    </row>
    <row r="588" spans="1:29" ht="39" hidden="1" customHeight="1" x14ac:dyDescent="0.2">
      <c r="A588" s="208"/>
      <c r="B588" s="42"/>
      <c r="C588" s="43"/>
      <c r="D588" s="43"/>
      <c r="E588" s="44" t="s">
        <v>160</v>
      </c>
      <c r="F588" s="43" t="s">
        <v>493</v>
      </c>
      <c r="G588" s="43" t="s">
        <v>69</v>
      </c>
      <c r="H588" s="45"/>
      <c r="I588" s="45"/>
      <c r="J588" s="45"/>
      <c r="K588" s="46"/>
      <c r="L588" s="46"/>
      <c r="M588" s="46"/>
      <c r="N588" s="313"/>
      <c r="O588" s="45"/>
      <c r="P588" s="353">
        <v>0</v>
      </c>
      <c r="Q588" s="315">
        <f t="shared" si="312"/>
        <v>0</v>
      </c>
      <c r="R588" s="315">
        <v>0</v>
      </c>
      <c r="S588" s="315"/>
      <c r="T588" s="315"/>
      <c r="U588" s="315"/>
      <c r="V588" s="315"/>
      <c r="W588" s="315"/>
      <c r="X588" s="165">
        <f t="shared" si="310"/>
        <v>0</v>
      </c>
      <c r="Y588" s="301"/>
      <c r="Z588" s="288"/>
      <c r="AA588" s="316"/>
      <c r="AB588" s="329"/>
      <c r="AC588" s="316"/>
    </row>
    <row r="589" spans="1:29" x14ac:dyDescent="0.2">
      <c r="A589" s="16" t="s">
        <v>366</v>
      </c>
      <c r="B589" s="17"/>
      <c r="C589" s="18" t="s">
        <v>358</v>
      </c>
      <c r="D589" s="18" t="s">
        <v>18</v>
      </c>
      <c r="E589" s="19" t="s">
        <v>19</v>
      </c>
      <c r="F589" s="18"/>
      <c r="G589" s="18"/>
      <c r="H589" s="20">
        <f t="shared" ref="H589:N589" si="313">H590+H591</f>
        <v>1546209.9</v>
      </c>
      <c r="I589" s="20">
        <f t="shared" si="313"/>
        <v>0</v>
      </c>
      <c r="J589" s="20">
        <f t="shared" si="313"/>
        <v>0</v>
      </c>
      <c r="K589" s="20">
        <f t="shared" si="313"/>
        <v>0</v>
      </c>
      <c r="L589" s="20">
        <f t="shared" si="313"/>
        <v>0</v>
      </c>
      <c r="M589" s="20">
        <f t="shared" si="313"/>
        <v>0</v>
      </c>
      <c r="N589" s="20">
        <f t="shared" si="313"/>
        <v>1546209.9</v>
      </c>
      <c r="O589" s="20">
        <f>O590+O591</f>
        <v>1546209.9</v>
      </c>
      <c r="P589" s="257">
        <f>P590+P591</f>
        <v>888450.48999999987</v>
      </c>
      <c r="Q589" s="257">
        <f t="shared" ref="Q589:V589" si="314">Q590+Q591</f>
        <v>159680.56</v>
      </c>
      <c r="R589" s="257">
        <f t="shared" si="314"/>
        <v>0</v>
      </c>
      <c r="S589" s="257">
        <f t="shared" si="314"/>
        <v>0</v>
      </c>
      <c r="T589" s="257">
        <f t="shared" si="314"/>
        <v>0</v>
      </c>
      <c r="U589" s="257">
        <f t="shared" si="314"/>
        <v>159680.56</v>
      </c>
      <c r="V589" s="257">
        <f t="shared" si="314"/>
        <v>0</v>
      </c>
      <c r="W589" s="257"/>
      <c r="X589" s="257">
        <f>X590+X591</f>
        <v>1048131.0499999999</v>
      </c>
      <c r="Y589" s="382"/>
      <c r="Z589" s="288"/>
      <c r="AA589" s="316"/>
      <c r="AB589" s="385"/>
      <c r="AC589" s="316"/>
    </row>
    <row r="590" spans="1:29" s="65" customFormat="1" ht="49.5" customHeight="1" x14ac:dyDescent="0.2">
      <c r="A590" s="186" t="s">
        <v>367</v>
      </c>
      <c r="B590" s="187">
        <v>804</v>
      </c>
      <c r="C590" s="188" t="s">
        <v>368</v>
      </c>
      <c r="D590" s="188" t="s">
        <v>369</v>
      </c>
      <c r="E590" s="189" t="s">
        <v>370</v>
      </c>
      <c r="F590" s="188" t="s">
        <v>371</v>
      </c>
      <c r="G590" s="188"/>
      <c r="H590" s="116">
        <f t="shared" ref="H590:X592" si="315">H591</f>
        <v>773104.95</v>
      </c>
      <c r="I590" s="116">
        <f t="shared" si="315"/>
        <v>0</v>
      </c>
      <c r="J590" s="116">
        <f t="shared" si="315"/>
        <v>0</v>
      </c>
      <c r="K590" s="190">
        <f t="shared" si="315"/>
        <v>0</v>
      </c>
      <c r="L590" s="190">
        <f t="shared" si="315"/>
        <v>0</v>
      </c>
      <c r="M590" s="190">
        <f t="shared" si="315"/>
        <v>0</v>
      </c>
      <c r="N590" s="191">
        <f t="shared" si="315"/>
        <v>773104.95</v>
      </c>
      <c r="O590" s="116">
        <f t="shared" si="315"/>
        <v>773104.95</v>
      </c>
      <c r="P590" s="256">
        <v>25122.95</v>
      </c>
      <c r="Q590" s="15">
        <f>R590+S590+T590+U590+V590</f>
        <v>0</v>
      </c>
      <c r="R590" s="15"/>
      <c r="S590" s="15"/>
      <c r="T590" s="15"/>
      <c r="U590" s="15">
        <v>0</v>
      </c>
      <c r="V590" s="15"/>
      <c r="W590" s="15"/>
      <c r="X590" s="436">
        <f>P590+Q590</f>
        <v>25122.95</v>
      </c>
      <c r="Y590" s="381"/>
      <c r="Z590" s="288"/>
      <c r="AA590" s="320"/>
      <c r="AB590" s="386"/>
      <c r="AC590" s="320"/>
    </row>
    <row r="591" spans="1:29" ht="25.5" x14ac:dyDescent="0.2">
      <c r="A591" s="186" t="s">
        <v>372</v>
      </c>
      <c r="B591" s="187">
        <v>804</v>
      </c>
      <c r="C591" s="188" t="s">
        <v>373</v>
      </c>
      <c r="D591" s="188" t="s">
        <v>374</v>
      </c>
      <c r="E591" s="189" t="s">
        <v>375</v>
      </c>
      <c r="F591" s="188" t="s">
        <v>376</v>
      </c>
      <c r="G591" s="188"/>
      <c r="H591" s="116">
        <f t="shared" si="315"/>
        <v>773104.95</v>
      </c>
      <c r="I591" s="116">
        <f t="shared" si="315"/>
        <v>0</v>
      </c>
      <c r="J591" s="116">
        <f t="shared" si="315"/>
        <v>0</v>
      </c>
      <c r="K591" s="190">
        <f t="shared" si="315"/>
        <v>0</v>
      </c>
      <c r="L591" s="190">
        <f t="shared" si="315"/>
        <v>0</v>
      </c>
      <c r="M591" s="190">
        <f t="shared" si="315"/>
        <v>0</v>
      </c>
      <c r="N591" s="191">
        <f t="shared" si="315"/>
        <v>773104.95</v>
      </c>
      <c r="O591" s="116">
        <f t="shared" si="315"/>
        <v>773104.95</v>
      </c>
      <c r="P591" s="256">
        <f t="shared" si="315"/>
        <v>863327.53999999992</v>
      </c>
      <c r="Q591" s="256">
        <f t="shared" si="315"/>
        <v>159680.56</v>
      </c>
      <c r="R591" s="256">
        <f t="shared" si="315"/>
        <v>0</v>
      </c>
      <c r="S591" s="256">
        <f t="shared" si="315"/>
        <v>0</v>
      </c>
      <c r="T591" s="256">
        <f t="shared" si="315"/>
        <v>0</v>
      </c>
      <c r="U591" s="256">
        <f t="shared" si="315"/>
        <v>159680.56</v>
      </c>
      <c r="V591" s="256">
        <f t="shared" si="315"/>
        <v>0</v>
      </c>
      <c r="W591" s="256"/>
      <c r="X591" s="256">
        <f t="shared" si="315"/>
        <v>1023008.1</v>
      </c>
      <c r="Y591" s="379"/>
      <c r="Z591" s="288"/>
      <c r="AA591" s="316"/>
      <c r="AB591" s="385"/>
      <c r="AC591" s="316"/>
    </row>
    <row r="592" spans="1:29" ht="25.5" x14ac:dyDescent="0.2">
      <c r="A592" s="210" t="s">
        <v>377</v>
      </c>
      <c r="B592" s="211">
        <v>804</v>
      </c>
      <c r="C592" s="168" t="s">
        <v>373</v>
      </c>
      <c r="D592" s="18" t="s">
        <v>374</v>
      </c>
      <c r="E592" s="212" t="s">
        <v>375</v>
      </c>
      <c r="F592" s="181" t="s">
        <v>378</v>
      </c>
      <c r="G592" s="18"/>
      <c r="H592" s="183">
        <f>H593</f>
        <v>773104.95</v>
      </c>
      <c r="I592" s="183">
        <f t="shared" si="315"/>
        <v>0</v>
      </c>
      <c r="J592" s="183">
        <f t="shared" si="315"/>
        <v>0</v>
      </c>
      <c r="K592" s="213">
        <f t="shared" si="315"/>
        <v>0</v>
      </c>
      <c r="L592" s="213">
        <f t="shared" si="315"/>
        <v>0</v>
      </c>
      <c r="M592" s="213">
        <f t="shared" si="315"/>
        <v>0</v>
      </c>
      <c r="N592" s="214">
        <f t="shared" si="315"/>
        <v>773104.95</v>
      </c>
      <c r="O592" s="183">
        <f>O593</f>
        <v>773104.95</v>
      </c>
      <c r="P592" s="261">
        <f>P593</f>
        <v>863327.53999999992</v>
      </c>
      <c r="Q592" s="261">
        <f t="shared" si="315"/>
        <v>159680.56</v>
      </c>
      <c r="R592" s="261">
        <f t="shared" si="315"/>
        <v>0</v>
      </c>
      <c r="S592" s="261">
        <f t="shared" si="315"/>
        <v>0</v>
      </c>
      <c r="T592" s="261">
        <f t="shared" si="315"/>
        <v>0</v>
      </c>
      <c r="U592" s="261">
        <f>U593</f>
        <v>159680.56</v>
      </c>
      <c r="V592" s="261">
        <f t="shared" si="315"/>
        <v>0</v>
      </c>
      <c r="W592" s="261"/>
      <c r="X592" s="261">
        <f t="shared" si="315"/>
        <v>1023008.1</v>
      </c>
      <c r="Y592" s="382"/>
      <c r="Z592" s="288"/>
      <c r="AA592" s="316"/>
      <c r="AB592" s="398"/>
      <c r="AC592" s="316"/>
    </row>
    <row r="593" spans="1:29" ht="79.5" customHeight="1" x14ac:dyDescent="0.2">
      <c r="A593" s="215" t="s">
        <v>379</v>
      </c>
      <c r="B593" s="99">
        <v>804</v>
      </c>
      <c r="C593" s="30" t="s">
        <v>373</v>
      </c>
      <c r="D593" s="146" t="s">
        <v>374</v>
      </c>
      <c r="E593" s="62" t="s">
        <v>375</v>
      </c>
      <c r="F593" s="30"/>
      <c r="G593" s="30"/>
      <c r="H593" s="31">
        <f>SUM(H594:H597)</f>
        <v>773104.95</v>
      </c>
      <c r="I593" s="31">
        <f t="shared" ref="I593:N593" si="316">SUM(I594:I597)</f>
        <v>0</v>
      </c>
      <c r="J593" s="31">
        <f t="shared" si="316"/>
        <v>0</v>
      </c>
      <c r="K593" s="32">
        <f t="shared" si="316"/>
        <v>0</v>
      </c>
      <c r="L593" s="32">
        <f t="shared" si="316"/>
        <v>0</v>
      </c>
      <c r="M593" s="32">
        <f t="shared" si="316"/>
        <v>0</v>
      </c>
      <c r="N593" s="33">
        <f t="shared" si="316"/>
        <v>773104.95</v>
      </c>
      <c r="O593" s="31">
        <f>SUM(O594:O597)</f>
        <v>773104.95</v>
      </c>
      <c r="P593" s="260">
        <f>SUM(P594:P597)</f>
        <v>863327.53999999992</v>
      </c>
      <c r="Q593" s="165">
        <f>R593+S593+T593+U593+V593</f>
        <v>159680.56</v>
      </c>
      <c r="R593" s="165">
        <f>R594+R596+R597</f>
        <v>0</v>
      </c>
      <c r="S593" s="165">
        <f t="shared" ref="S593:V593" si="317">S594+S596+S597</f>
        <v>0</v>
      </c>
      <c r="T593" s="165">
        <f t="shared" si="317"/>
        <v>0</v>
      </c>
      <c r="U593" s="165">
        <f t="shared" si="317"/>
        <v>159680.56</v>
      </c>
      <c r="V593" s="165">
        <f t="shared" si="317"/>
        <v>0</v>
      </c>
      <c r="W593" s="165"/>
      <c r="X593" s="165">
        <f>SUM(X594:X597)</f>
        <v>1023008.1</v>
      </c>
      <c r="Y593" s="301"/>
      <c r="Z593" s="288"/>
      <c r="AA593" s="288"/>
      <c r="AB593" s="329"/>
      <c r="AC593" s="316"/>
    </row>
    <row r="594" spans="1:29" ht="21" customHeight="1" x14ac:dyDescent="0.2">
      <c r="A594" s="215" t="s">
        <v>380</v>
      </c>
      <c r="B594" s="79"/>
      <c r="C594" s="25"/>
      <c r="D594" s="25"/>
      <c r="E594" s="26"/>
      <c r="F594" s="25"/>
      <c r="G594" s="25"/>
      <c r="H594" s="31">
        <v>157204.95000000001</v>
      </c>
      <c r="I594" s="31">
        <f>SUM(J594:M594)</f>
        <v>0</v>
      </c>
      <c r="J594" s="31"/>
      <c r="K594" s="32"/>
      <c r="L594" s="32"/>
      <c r="M594" s="32"/>
      <c r="N594" s="33">
        <f>H594+I594</f>
        <v>157204.95000000001</v>
      </c>
      <c r="O594" s="31">
        <v>157204.95000000001</v>
      </c>
      <c r="P594" s="260">
        <v>340644.77</v>
      </c>
      <c r="Q594" s="165">
        <f>R594+S594+T594+U594+V594</f>
        <v>159680.56</v>
      </c>
      <c r="R594" s="165"/>
      <c r="S594" s="165"/>
      <c r="T594" s="165"/>
      <c r="U594" s="165">
        <v>159680.56</v>
      </c>
      <c r="V594" s="165"/>
      <c r="W594" s="165"/>
      <c r="X594" s="165">
        <f>P594+Q594</f>
        <v>500325.33</v>
      </c>
      <c r="Y594" s="301"/>
      <c r="Z594" s="288"/>
      <c r="AA594" s="316"/>
      <c r="AB594" s="329"/>
      <c r="AC594" s="316"/>
    </row>
    <row r="595" spans="1:29" ht="24.75" hidden="1" customHeight="1" x14ac:dyDescent="0.2">
      <c r="A595" s="215" t="s">
        <v>381</v>
      </c>
      <c r="B595" s="79"/>
      <c r="C595" s="25"/>
      <c r="D595" s="25"/>
      <c r="E595" s="26"/>
      <c r="F595" s="25"/>
      <c r="G595" s="25"/>
      <c r="H595" s="31">
        <v>0</v>
      </c>
      <c r="I595" s="31"/>
      <c r="J595" s="31"/>
      <c r="K595" s="32"/>
      <c r="L595" s="32"/>
      <c r="M595" s="32"/>
      <c r="N595" s="33"/>
      <c r="O595" s="31">
        <v>0</v>
      </c>
      <c r="P595" s="260">
        <v>0</v>
      </c>
      <c r="Q595" s="165">
        <f>R595+S595+T595+U595</f>
        <v>0</v>
      </c>
      <c r="R595" s="165"/>
      <c r="S595" s="165"/>
      <c r="T595" s="165"/>
      <c r="U595" s="165"/>
      <c r="V595" s="165"/>
      <c r="W595" s="165"/>
      <c r="X595" s="165">
        <f>P595+Q595</f>
        <v>0</v>
      </c>
      <c r="Y595" s="301"/>
      <c r="Z595" s="288"/>
      <c r="AA595" s="316"/>
      <c r="AB595" s="329"/>
      <c r="AC595" s="316"/>
    </row>
    <row r="596" spans="1:29" ht="18" customHeight="1" x14ac:dyDescent="0.2">
      <c r="A596" s="215" t="s">
        <v>382</v>
      </c>
      <c r="B596" s="79"/>
      <c r="C596" s="25"/>
      <c r="D596" s="25"/>
      <c r="E596" s="26"/>
      <c r="F596" s="25"/>
      <c r="G596" s="25"/>
      <c r="H596" s="31">
        <v>499000</v>
      </c>
      <c r="I596" s="31">
        <f>SUM(J596:M596)</f>
        <v>0</v>
      </c>
      <c r="J596" s="31"/>
      <c r="K596" s="32"/>
      <c r="L596" s="32"/>
      <c r="M596" s="32"/>
      <c r="N596" s="33">
        <f>H596+I596</f>
        <v>499000</v>
      </c>
      <c r="O596" s="31">
        <v>499000</v>
      </c>
      <c r="P596" s="260">
        <v>455193.42</v>
      </c>
      <c r="Q596" s="165">
        <f>R596+S596+T596+U596+V596</f>
        <v>0</v>
      </c>
      <c r="R596" s="165"/>
      <c r="S596" s="165"/>
      <c r="T596" s="165"/>
      <c r="U596" s="165"/>
      <c r="V596" s="165"/>
      <c r="W596" s="165"/>
      <c r="X596" s="165">
        <f>P596+Q596</f>
        <v>455193.42</v>
      </c>
      <c r="Y596" s="301"/>
      <c r="Z596" s="288"/>
      <c r="AA596" s="316"/>
      <c r="AB596" s="329"/>
      <c r="AC596" s="316"/>
    </row>
    <row r="597" spans="1:29" ht="15.75" customHeight="1" x14ac:dyDescent="0.2">
      <c r="A597" s="215" t="s">
        <v>383</v>
      </c>
      <c r="B597" s="79"/>
      <c r="C597" s="25"/>
      <c r="D597" s="25"/>
      <c r="E597" s="26"/>
      <c r="F597" s="25"/>
      <c r="G597" s="25"/>
      <c r="H597" s="31">
        <v>116900</v>
      </c>
      <c r="I597" s="31">
        <f>SUM(J597:M597)</f>
        <v>0</v>
      </c>
      <c r="J597" s="31"/>
      <c r="K597" s="32"/>
      <c r="L597" s="32"/>
      <c r="M597" s="32"/>
      <c r="N597" s="33">
        <f>H597+I597</f>
        <v>116900</v>
      </c>
      <c r="O597" s="31">
        <v>116900</v>
      </c>
      <c r="P597" s="260">
        <v>67489.350000000006</v>
      </c>
      <c r="Q597" s="165">
        <f>R597+S597+T597+U597+V597</f>
        <v>0</v>
      </c>
      <c r="R597" s="165"/>
      <c r="S597" s="165"/>
      <c r="T597" s="165"/>
      <c r="U597" s="165"/>
      <c r="V597" s="165"/>
      <c r="W597" s="165"/>
      <c r="X597" s="165">
        <f>P597+Q597</f>
        <v>67489.350000000006</v>
      </c>
      <c r="Y597" s="301"/>
      <c r="Z597" s="288"/>
      <c r="AA597" s="316"/>
      <c r="AB597" s="329"/>
      <c r="AC597" s="316"/>
    </row>
    <row r="598" spans="1:29" ht="22.5" customHeight="1" thickBot="1" x14ac:dyDescent="0.25">
      <c r="A598" s="216" t="s">
        <v>384</v>
      </c>
      <c r="B598" s="217"/>
      <c r="C598" s="218"/>
      <c r="D598" s="218"/>
      <c r="E598" s="219"/>
      <c r="F598" s="218"/>
      <c r="G598" s="218"/>
      <c r="H598" s="220">
        <f t="shared" ref="H598:O598" si="318">H14+H199+H225+H242+H283+H410+H422+H542+H562+H589</f>
        <v>83903940.849999994</v>
      </c>
      <c r="I598" s="220" t="e">
        <f t="shared" si="318"/>
        <v>#REF!</v>
      </c>
      <c r="J598" s="220" t="e">
        <f t="shared" si="318"/>
        <v>#REF!</v>
      </c>
      <c r="K598" s="220" t="e">
        <f t="shared" si="318"/>
        <v>#REF!</v>
      </c>
      <c r="L598" s="220" t="e">
        <f t="shared" si="318"/>
        <v>#REF!</v>
      </c>
      <c r="M598" s="220" t="e">
        <f t="shared" si="318"/>
        <v>#REF!</v>
      </c>
      <c r="N598" s="220" t="e">
        <f t="shared" si="318"/>
        <v>#REF!</v>
      </c>
      <c r="O598" s="220">
        <f t="shared" si="318"/>
        <v>76902980.340000004</v>
      </c>
      <c r="P598" s="334">
        <f t="shared" ref="P598:X598" si="319">P14+P199+P225+P242+P283+P410+P422+P542+P562+P589+P407+P419</f>
        <v>109769870.55</v>
      </c>
      <c r="Q598" s="334">
        <f t="shared" si="319"/>
        <v>19660362.98</v>
      </c>
      <c r="R598" s="334">
        <f t="shared" si="319"/>
        <v>-1.1641532182693481E-10</v>
      </c>
      <c r="S598" s="334">
        <f t="shared" si="319"/>
        <v>0</v>
      </c>
      <c r="T598" s="334">
        <f t="shared" si="319"/>
        <v>12779573.379999999</v>
      </c>
      <c r="U598" s="334">
        <f t="shared" si="319"/>
        <v>2880789.6</v>
      </c>
      <c r="V598" s="334">
        <f t="shared" si="319"/>
        <v>3999999.9999999995</v>
      </c>
      <c r="W598" s="334">
        <f t="shared" si="319"/>
        <v>0</v>
      </c>
      <c r="X598" s="334">
        <f t="shared" si="319"/>
        <v>129430233.53</v>
      </c>
      <c r="Y598" s="301"/>
      <c r="Z598" s="288"/>
      <c r="AA598" s="316"/>
      <c r="AB598" s="401"/>
      <c r="AC598" s="316"/>
    </row>
    <row r="599" spans="1:29" hidden="1" x14ac:dyDescent="0.2">
      <c r="I599" s="222"/>
      <c r="J599" s="222"/>
      <c r="K599" s="37"/>
      <c r="L599" s="37"/>
      <c r="M599" s="37"/>
      <c r="N599" s="37"/>
      <c r="O599" s="222"/>
      <c r="P599" s="389">
        <v>109769870.55</v>
      </c>
      <c r="Q599" s="329"/>
      <c r="R599" s="329"/>
      <c r="S599" s="329"/>
      <c r="T599" s="329"/>
      <c r="U599" s="329"/>
      <c r="V599" s="329"/>
      <c r="W599" s="329"/>
      <c r="X599" s="471">
        <v>117048593.47</v>
      </c>
      <c r="Y599" s="288"/>
      <c r="Z599" s="288"/>
      <c r="AA599" s="316"/>
      <c r="AB599" s="316"/>
      <c r="AC599" s="316"/>
    </row>
    <row r="600" spans="1:29" hidden="1" x14ac:dyDescent="0.2">
      <c r="B600" s="530"/>
      <c r="C600" s="530"/>
      <c r="I600" s="222"/>
      <c r="J600" s="223"/>
      <c r="K600" s="37"/>
      <c r="L600" s="37"/>
      <c r="M600" s="37"/>
      <c r="N600" s="37"/>
      <c r="O600" s="222"/>
      <c r="P600" s="389">
        <v>109769870.55</v>
      </c>
      <c r="Q600" s="329"/>
      <c r="R600" s="329"/>
      <c r="S600" s="329"/>
      <c r="T600" s="329"/>
      <c r="U600" s="329"/>
      <c r="V600" s="329"/>
      <c r="W600" s="329"/>
      <c r="X600" s="471">
        <v>108703304.09</v>
      </c>
      <c r="Y600" s="288"/>
      <c r="Z600" s="288"/>
      <c r="AA600" s="316"/>
      <c r="AB600" s="316"/>
      <c r="AC600" s="316"/>
    </row>
    <row r="601" spans="1:29" hidden="1" x14ac:dyDescent="0.2">
      <c r="B601" s="536"/>
      <c r="C601" s="536"/>
      <c r="D601" s="279"/>
      <c r="E601" s="230"/>
      <c r="P601" s="389"/>
      <c r="Q601" s="329"/>
      <c r="R601" s="329"/>
      <c r="S601" s="329"/>
      <c r="T601" s="329"/>
      <c r="U601" s="329"/>
      <c r="V601" s="329"/>
      <c r="W601" s="329"/>
      <c r="X601" s="471">
        <f>X598-X599</f>
        <v>12381640.060000002</v>
      </c>
      <c r="Y601" s="288"/>
      <c r="Z601" s="288"/>
      <c r="AA601" s="316"/>
      <c r="AB601" s="316"/>
      <c r="AC601" s="316"/>
    </row>
    <row r="602" spans="1:29" hidden="1" x14ac:dyDescent="0.2">
      <c r="B602" s="279"/>
      <c r="C602" s="279"/>
      <c r="D602" s="279"/>
      <c r="E602" s="230"/>
      <c r="P602" s="395">
        <f>P600-P598</f>
        <v>0</v>
      </c>
      <c r="Q602" s="331"/>
      <c r="R602" s="329"/>
      <c r="S602" s="329"/>
      <c r="T602" s="329"/>
      <c r="U602" s="331"/>
      <c r="V602" s="331"/>
      <c r="W602" s="331"/>
      <c r="X602" s="471"/>
      <c r="Y602" s="288"/>
      <c r="Z602" s="288"/>
      <c r="AA602" s="316"/>
      <c r="AB602" s="316"/>
      <c r="AC602" s="316"/>
    </row>
    <row r="603" spans="1:29" hidden="1" x14ac:dyDescent="0.2">
      <c r="B603" s="532"/>
      <c r="C603" s="532"/>
      <c r="D603" s="283"/>
      <c r="E603" s="283"/>
      <c r="F603" s="283"/>
      <c r="G603" s="532"/>
      <c r="H603" s="532"/>
      <c r="P603" s="389"/>
      <c r="Q603" s="329"/>
      <c r="R603" s="329"/>
      <c r="S603" s="331"/>
      <c r="T603" s="329"/>
      <c r="U603" s="331"/>
      <c r="V603" s="329"/>
      <c r="W603" s="331"/>
      <c r="X603" s="471">
        <v>117048593.47</v>
      </c>
      <c r="Y603" s="288"/>
      <c r="Z603" s="288"/>
      <c r="AA603" s="316"/>
      <c r="AB603" s="316"/>
      <c r="AC603" s="316"/>
    </row>
    <row r="604" spans="1:29" ht="18.75" hidden="1" x14ac:dyDescent="0.3">
      <c r="A604" s="255"/>
      <c r="B604" s="535"/>
      <c r="C604" s="535"/>
      <c r="D604" s="534"/>
      <c r="E604" s="534"/>
      <c r="F604" s="282"/>
      <c r="G604" s="282"/>
      <c r="H604" s="226"/>
      <c r="I604" s="227"/>
      <c r="J604" s="227"/>
      <c r="K604" s="225"/>
      <c r="L604" s="225"/>
      <c r="M604" s="225"/>
      <c r="N604" s="225"/>
      <c r="O604" s="225"/>
      <c r="P604" s="429"/>
      <c r="Q604" s="430"/>
      <c r="R604" s="430"/>
      <c r="S604" s="331"/>
      <c r="T604" s="329"/>
      <c r="U604" s="331"/>
      <c r="V604" s="331"/>
      <c r="W604" s="331"/>
      <c r="X604" s="471"/>
    </row>
    <row r="605" spans="1:29" hidden="1" x14ac:dyDescent="0.2">
      <c r="A605" s="52"/>
      <c r="B605" s="533"/>
      <c r="C605" s="533"/>
      <c r="D605" s="534"/>
      <c r="E605" s="534"/>
      <c r="F605" s="281"/>
      <c r="G605" s="281"/>
      <c r="H605" s="228"/>
      <c r="I605" s="229"/>
      <c r="J605" s="229"/>
      <c r="K605" s="94"/>
      <c r="L605" s="94"/>
      <c r="M605" s="94"/>
      <c r="N605" s="94"/>
      <c r="O605" s="94"/>
      <c r="P605" s="385"/>
      <c r="Q605" s="431"/>
      <c r="R605" s="431"/>
      <c r="S605" s="331"/>
      <c r="T605" s="329"/>
      <c r="U605" s="331"/>
      <c r="V605" s="331"/>
      <c r="W605" s="331"/>
      <c r="X605" s="471"/>
    </row>
    <row r="606" spans="1:29" hidden="1" x14ac:dyDescent="0.2">
      <c r="A606" s="52"/>
      <c r="B606" s="516"/>
      <c r="C606" s="516"/>
      <c r="D606" s="279"/>
      <c r="E606" s="230"/>
      <c r="F606" s="279"/>
      <c r="G606" s="279"/>
      <c r="P606" s="432"/>
      <c r="Q606" s="331"/>
      <c r="R606" s="331"/>
      <c r="S606" s="331"/>
      <c r="T606" s="329"/>
      <c r="U606" s="331"/>
      <c r="V606" s="331"/>
      <c r="W606" s="331"/>
      <c r="X606" s="471">
        <f>X603-X598</f>
        <v>-12381640.060000002</v>
      </c>
    </row>
    <row r="607" spans="1:29" s="52" customFormat="1" hidden="1" x14ac:dyDescent="0.2">
      <c r="B607" s="517"/>
      <c r="C607" s="517"/>
      <c r="D607" s="278"/>
      <c r="E607" s="145"/>
      <c r="F607" s="231"/>
      <c r="G607" s="231"/>
      <c r="H607" s="232"/>
      <c r="I607" s="233"/>
      <c r="J607" s="233"/>
      <c r="P607" s="433"/>
      <c r="Q607" s="434"/>
      <c r="R607" s="434"/>
      <c r="S607" s="387"/>
      <c r="T607" s="434"/>
      <c r="U607" s="434"/>
      <c r="V607" s="434"/>
      <c r="W607" s="434"/>
      <c r="X607" s="472"/>
      <c r="Y607" s="275"/>
      <c r="Z607" s="275"/>
    </row>
    <row r="608" spans="1:29" hidden="1" x14ac:dyDescent="0.2">
      <c r="B608" s="516"/>
      <c r="C608" s="516"/>
      <c r="D608" s="279"/>
      <c r="P608" s="432"/>
      <c r="Q608" s="331"/>
      <c r="R608" s="331"/>
      <c r="S608" s="329"/>
      <c r="T608" s="331"/>
      <c r="U608" s="331"/>
      <c r="V608" s="331"/>
      <c r="W608" s="331"/>
      <c r="X608" s="471"/>
    </row>
    <row r="609" spans="1:26" hidden="1" x14ac:dyDescent="0.2">
      <c r="B609" s="516"/>
      <c r="C609" s="516"/>
      <c r="D609" s="279"/>
      <c r="P609" s="432"/>
      <c r="Q609" s="331"/>
      <c r="R609" s="331"/>
      <c r="S609" s="329"/>
      <c r="T609" s="331"/>
      <c r="U609" s="329"/>
      <c r="V609" s="329"/>
      <c r="W609" s="329"/>
      <c r="X609" s="471">
        <v>118115159.93000001</v>
      </c>
    </row>
    <row r="610" spans="1:26" s="52" customFormat="1" hidden="1" x14ac:dyDescent="0.2">
      <c r="B610" s="517"/>
      <c r="C610" s="517"/>
      <c r="D610" s="231"/>
      <c r="E610" s="145"/>
      <c r="F610" s="231"/>
      <c r="G610" s="231"/>
      <c r="H610" s="232"/>
      <c r="I610" s="233"/>
      <c r="J610" s="233"/>
      <c r="P610" s="395"/>
      <c r="Q610" s="387"/>
      <c r="R610" s="387"/>
      <c r="S610" s="387"/>
      <c r="T610" s="387"/>
      <c r="U610" s="387"/>
      <c r="V610" s="387"/>
      <c r="W610" s="387"/>
      <c r="X610" s="472"/>
      <c r="Y610" s="275"/>
      <c r="Z610" s="275"/>
    </row>
    <row r="611" spans="1:26" hidden="1" x14ac:dyDescent="0.2">
      <c r="B611" s="516"/>
      <c r="C611" s="530"/>
      <c r="P611" s="435"/>
      <c r="Q611" s="320"/>
      <c r="R611" s="320"/>
      <c r="S611" s="290"/>
      <c r="T611" s="320"/>
      <c r="U611" s="320"/>
      <c r="V611" s="320"/>
      <c r="W611" s="320"/>
      <c r="X611" s="473">
        <f>X600-X598</f>
        <v>-20726929.439999998</v>
      </c>
    </row>
    <row r="612" spans="1:26" hidden="1" x14ac:dyDescent="0.2">
      <c r="S612" s="288"/>
      <c r="X612" s="474">
        <v>1066566.46</v>
      </c>
    </row>
    <row r="613" spans="1:26" x14ac:dyDescent="0.2">
      <c r="B613" s="517"/>
      <c r="C613" s="517"/>
      <c r="X613" s="289"/>
    </row>
    <row r="614" spans="1:26" x14ac:dyDescent="0.2">
      <c r="A614" s="234"/>
      <c r="B614" s="530"/>
      <c r="C614" s="530"/>
      <c r="D614" s="235"/>
      <c r="P614" s="503"/>
      <c r="Q614" s="288"/>
      <c r="R614" s="288"/>
      <c r="S614" s="288"/>
      <c r="T614" s="288"/>
      <c r="U614" s="288"/>
      <c r="V614" s="288"/>
      <c r="W614" s="288"/>
      <c r="X614" s="288"/>
    </row>
    <row r="615" spans="1:26" x14ac:dyDescent="0.2">
      <c r="A615" s="234"/>
      <c r="B615" s="516"/>
      <c r="C615" s="516"/>
      <c r="D615" s="235"/>
      <c r="P615" s="503"/>
      <c r="Q615" s="288"/>
      <c r="R615" s="288"/>
      <c r="S615" s="288"/>
      <c r="T615" s="288"/>
      <c r="U615" s="288"/>
      <c r="V615" s="288"/>
      <c r="W615" s="288"/>
      <c r="X615" s="288"/>
    </row>
    <row r="616" spans="1:26" x14ac:dyDescent="0.2">
      <c r="B616" s="517"/>
      <c r="C616" s="531"/>
      <c r="D616" s="235"/>
      <c r="T616" s="288"/>
      <c r="U616" s="504"/>
      <c r="V616" s="288"/>
    </row>
    <row r="617" spans="1:26" x14ac:dyDescent="0.2">
      <c r="B617" s="530"/>
      <c r="C617" s="530"/>
      <c r="D617" s="235"/>
      <c r="R617" s="288"/>
      <c r="T617" s="288"/>
      <c r="U617" s="288"/>
      <c r="X617" s="288"/>
    </row>
    <row r="618" spans="1:26" x14ac:dyDescent="0.2">
      <c r="B618" s="516"/>
      <c r="C618" s="530"/>
      <c r="U618" s="288"/>
      <c r="V618" s="288"/>
    </row>
    <row r="619" spans="1:26" x14ac:dyDescent="0.2">
      <c r="U619" s="288"/>
      <c r="X619" s="512"/>
    </row>
    <row r="621" spans="1:26" x14ac:dyDescent="0.2">
      <c r="U621" s="288"/>
      <c r="X621" s="288"/>
    </row>
    <row r="624" spans="1:26" x14ac:dyDescent="0.2">
      <c r="T624" s="288"/>
    </row>
    <row r="626" spans="20:20" x14ac:dyDescent="0.2">
      <c r="T626" s="288"/>
    </row>
  </sheetData>
  <mergeCells count="44">
    <mergeCell ref="U1:X1"/>
    <mergeCell ref="U2:X2"/>
    <mergeCell ref="U3:X3"/>
    <mergeCell ref="W11:W12"/>
    <mergeCell ref="A8:P8"/>
    <mergeCell ref="V11:V12"/>
    <mergeCell ref="X8:Y8"/>
    <mergeCell ref="B609:C609"/>
    <mergeCell ref="G603:H603"/>
    <mergeCell ref="S11:S12"/>
    <mergeCell ref="T11:T12"/>
    <mergeCell ref="B605:C605"/>
    <mergeCell ref="D605:E605"/>
    <mergeCell ref="B604:C604"/>
    <mergeCell ref="D604:E604"/>
    <mergeCell ref="B603:C603"/>
    <mergeCell ref="B600:C600"/>
    <mergeCell ref="B601:C601"/>
    <mergeCell ref="H11:H12"/>
    <mergeCell ref="I11:I12"/>
    <mergeCell ref="R11:R12"/>
    <mergeCell ref="B617:C617"/>
    <mergeCell ref="B618:C618"/>
    <mergeCell ref="B610:C610"/>
    <mergeCell ref="B611:C611"/>
    <mergeCell ref="B613:C613"/>
    <mergeCell ref="B614:C614"/>
    <mergeCell ref="B615:C615"/>
    <mergeCell ref="B616:C616"/>
    <mergeCell ref="AA9:AB9"/>
    <mergeCell ref="B606:C606"/>
    <mergeCell ref="B607:C607"/>
    <mergeCell ref="B608:C608"/>
    <mergeCell ref="Y11:Y12"/>
    <mergeCell ref="J11:J12"/>
    <mergeCell ref="K11:K12"/>
    <mergeCell ref="L11:L12"/>
    <mergeCell ref="M11:M12"/>
    <mergeCell ref="N11:N12"/>
    <mergeCell ref="O11:O12"/>
    <mergeCell ref="P11:P12"/>
    <mergeCell ref="X11:X12"/>
    <mergeCell ref="U11:U12"/>
    <mergeCell ref="Q11:Q12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rowBreaks count="1" manualBreakCount="1">
    <brk id="598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R74"/>
  <sheetViews>
    <sheetView zoomScaleNormal="100" workbookViewId="0">
      <selection activeCell="C37" sqref="C37"/>
    </sheetView>
  </sheetViews>
  <sheetFormatPr defaultRowHeight="15" x14ac:dyDescent="0.25"/>
  <cols>
    <col min="1" max="1" width="4" customWidth="1"/>
    <col min="3" max="3" width="13.85546875" customWidth="1"/>
    <col min="12" max="12" width="11.42578125" bestFit="1" customWidth="1"/>
  </cols>
  <sheetData>
    <row r="2" spans="1:11" ht="15.75" x14ac:dyDescent="0.25">
      <c r="B2" s="541" t="s">
        <v>619</v>
      </c>
      <c r="C2" s="541"/>
      <c r="D2" s="541"/>
      <c r="E2" s="541"/>
      <c r="F2" s="541"/>
      <c r="G2" s="541"/>
      <c r="H2" s="541"/>
      <c r="I2" s="541"/>
      <c r="J2" s="541"/>
      <c r="K2" s="541"/>
    </row>
    <row r="4" spans="1:11" ht="15" customHeight="1" x14ac:dyDescent="0.25">
      <c r="A4" s="461" t="s">
        <v>599</v>
      </c>
      <c r="B4" s="540" t="s">
        <v>620</v>
      </c>
      <c r="C4" s="540"/>
      <c r="D4" s="540"/>
      <c r="E4" s="540"/>
      <c r="F4" s="540"/>
      <c r="G4" s="540"/>
      <c r="H4" s="540"/>
      <c r="I4" s="540"/>
      <c r="J4" s="540"/>
      <c r="K4" s="540"/>
    </row>
    <row r="5" spans="1:11" x14ac:dyDescent="0.25">
      <c r="A5" s="461"/>
      <c r="B5" s="540"/>
      <c r="C5" s="540"/>
      <c r="D5" s="540"/>
      <c r="E5" s="540"/>
      <c r="F5" s="540"/>
      <c r="G5" s="540"/>
      <c r="H5" s="540"/>
      <c r="I5" s="540"/>
      <c r="J5" s="540"/>
      <c r="K5" s="540"/>
    </row>
    <row r="6" spans="1:11" x14ac:dyDescent="0.25">
      <c r="A6" s="461"/>
      <c r="B6" s="540"/>
      <c r="C6" s="540"/>
      <c r="D6" s="540"/>
      <c r="E6" s="540"/>
      <c r="F6" s="540"/>
      <c r="G6" s="540"/>
      <c r="H6" s="540"/>
      <c r="I6" s="540"/>
      <c r="J6" s="540"/>
      <c r="K6" s="540"/>
    </row>
    <row r="7" spans="1:11" x14ac:dyDescent="0.25">
      <c r="A7" s="461"/>
      <c r="B7" s="461"/>
      <c r="C7" s="461"/>
      <c r="D7" s="461"/>
      <c r="E7" s="461"/>
      <c r="F7" s="461"/>
      <c r="G7" s="461"/>
      <c r="H7" s="461"/>
      <c r="I7" s="461"/>
      <c r="J7" s="461"/>
      <c r="K7" s="461"/>
    </row>
    <row r="8" spans="1:11" x14ac:dyDescent="0.25">
      <c r="A8" s="461" t="s">
        <v>600</v>
      </c>
      <c r="B8" s="461" t="s">
        <v>602</v>
      </c>
      <c r="C8" s="461"/>
      <c r="D8" s="461"/>
      <c r="E8" s="461"/>
      <c r="F8" s="461"/>
      <c r="G8" s="461"/>
      <c r="H8" s="461"/>
      <c r="I8" s="461"/>
      <c r="J8" s="461"/>
      <c r="K8" s="461"/>
    </row>
    <row r="9" spans="1:11" x14ac:dyDescent="0.25">
      <c r="A9" s="461"/>
      <c r="B9" s="461" t="s">
        <v>621</v>
      </c>
      <c r="C9" s="461"/>
      <c r="D9" s="461"/>
      <c r="E9" s="461"/>
      <c r="F9" s="461"/>
      <c r="G9" s="461"/>
      <c r="H9" s="461"/>
      <c r="I9" s="461"/>
      <c r="J9" s="461"/>
      <c r="K9" s="461"/>
    </row>
    <row r="10" spans="1:11" x14ac:dyDescent="0.25">
      <c r="A10" s="461"/>
      <c r="B10" s="461" t="s">
        <v>622</v>
      </c>
      <c r="C10" s="461"/>
      <c r="D10" s="461"/>
      <c r="E10" s="461"/>
      <c r="F10" s="461"/>
      <c r="G10" s="461"/>
      <c r="H10" s="461"/>
      <c r="I10" s="461"/>
      <c r="J10" s="461"/>
      <c r="K10" s="461"/>
    </row>
    <row r="11" spans="1:11" x14ac:dyDescent="0.25">
      <c r="A11" s="461"/>
      <c r="B11" s="461"/>
      <c r="C11" s="461"/>
      <c r="D11" s="461"/>
      <c r="E11" s="461"/>
      <c r="F11" s="461"/>
      <c r="G11" s="461"/>
      <c r="H11" s="461"/>
      <c r="I11" s="461"/>
      <c r="J11" s="461"/>
      <c r="K11" s="461"/>
    </row>
    <row r="12" spans="1:11" x14ac:dyDescent="0.25">
      <c r="A12" s="461"/>
      <c r="B12" s="461" t="s">
        <v>601</v>
      </c>
      <c r="C12" s="461"/>
      <c r="D12" s="461"/>
      <c r="E12" s="461"/>
      <c r="F12" s="461"/>
      <c r="G12" s="461"/>
      <c r="H12" s="461"/>
      <c r="I12" s="461"/>
      <c r="J12" s="461"/>
      <c r="K12" s="461"/>
    </row>
    <row r="13" spans="1:11" x14ac:dyDescent="0.25">
      <c r="A13" s="461"/>
      <c r="B13" s="461" t="s">
        <v>623</v>
      </c>
      <c r="C13" s="461"/>
      <c r="D13" s="461"/>
      <c r="E13" s="461"/>
      <c r="F13" s="461"/>
      <c r="G13" s="461"/>
      <c r="H13" s="461"/>
      <c r="I13" s="461"/>
      <c r="J13" s="461"/>
      <c r="K13" s="461"/>
    </row>
    <row r="14" spans="1:11" x14ac:dyDescent="0.25">
      <c r="A14" s="461"/>
      <c r="B14" s="461"/>
      <c r="C14" s="461"/>
      <c r="D14" s="461"/>
      <c r="E14" s="461"/>
      <c r="F14" s="461"/>
      <c r="G14" s="461"/>
      <c r="H14" s="461"/>
      <c r="I14" s="461"/>
      <c r="J14" s="461"/>
      <c r="K14" s="461"/>
    </row>
    <row r="15" spans="1:11" x14ac:dyDescent="0.25">
      <c r="A15" s="461"/>
      <c r="B15" s="546" t="s">
        <v>624</v>
      </c>
      <c r="C15" s="546"/>
      <c r="D15" s="546"/>
      <c r="E15" s="546"/>
      <c r="F15" s="546"/>
      <c r="G15" s="546"/>
      <c r="H15" s="546"/>
      <c r="I15" s="546"/>
      <c r="J15" s="546"/>
      <c r="K15" s="461"/>
    </row>
    <row r="16" spans="1:11" x14ac:dyDescent="0.25">
      <c r="A16" s="461"/>
      <c r="B16" s="546"/>
      <c r="C16" s="546"/>
      <c r="D16" s="546"/>
      <c r="E16" s="546"/>
      <c r="F16" s="546"/>
      <c r="G16" s="546"/>
      <c r="H16" s="546"/>
      <c r="I16" s="546"/>
      <c r="J16" s="546"/>
      <c r="K16" s="461"/>
    </row>
    <row r="17" spans="1:18" x14ac:dyDescent="0.25">
      <c r="A17" s="461"/>
      <c r="B17" s="461"/>
      <c r="C17" s="461"/>
      <c r="D17" s="461"/>
      <c r="E17" s="461"/>
      <c r="F17" s="461"/>
      <c r="G17" s="461"/>
      <c r="H17" s="461"/>
      <c r="I17" s="461"/>
      <c r="J17" s="461"/>
      <c r="K17" s="461"/>
      <c r="L17" s="459"/>
    </row>
    <row r="18" spans="1:18" x14ac:dyDescent="0.25">
      <c r="A18" s="461"/>
      <c r="B18" s="461"/>
      <c r="C18" s="461"/>
      <c r="D18" s="461"/>
      <c r="E18" s="461"/>
      <c r="F18" s="461"/>
      <c r="G18" s="461"/>
      <c r="H18" s="461"/>
      <c r="I18" s="461"/>
      <c r="J18" s="461"/>
      <c r="K18" s="461"/>
    </row>
    <row r="19" spans="1:18" x14ac:dyDescent="0.25">
      <c r="A19" s="461" t="s">
        <v>603</v>
      </c>
      <c r="B19" s="551" t="s">
        <v>618</v>
      </c>
      <c r="C19" s="551"/>
      <c r="D19" s="551"/>
      <c r="E19" s="551"/>
      <c r="F19" s="551"/>
      <c r="G19" s="551"/>
      <c r="H19" s="551"/>
      <c r="I19" s="551"/>
      <c r="J19" s="551"/>
      <c r="K19" s="551"/>
    </row>
    <row r="20" spans="1:18" x14ac:dyDescent="0.25">
      <c r="A20" s="461"/>
      <c r="B20" s="461"/>
      <c r="C20" s="462"/>
      <c r="D20" s="461"/>
      <c r="E20" s="461"/>
      <c r="F20" s="461"/>
      <c r="G20" s="461"/>
      <c r="H20" s="461"/>
      <c r="I20" s="461"/>
      <c r="J20" s="461"/>
      <c r="K20" s="461"/>
    </row>
    <row r="21" spans="1:18" hidden="1" x14ac:dyDescent="0.25">
      <c r="A21" s="461"/>
      <c r="B21" s="463" t="s">
        <v>32</v>
      </c>
      <c r="C21" s="462">
        <v>0</v>
      </c>
      <c r="D21" s="547" t="s">
        <v>604</v>
      </c>
      <c r="E21" s="547"/>
      <c r="F21" s="547"/>
      <c r="G21" s="461"/>
      <c r="H21" s="461"/>
      <c r="I21" s="461"/>
      <c r="J21" s="461"/>
      <c r="K21" s="461"/>
    </row>
    <row r="22" spans="1:18" x14ac:dyDescent="0.25">
      <c r="A22" s="461"/>
      <c r="B22" s="549" t="s">
        <v>83</v>
      </c>
      <c r="C22" s="550">
        <f>590529.1+12000</f>
        <v>602529.1</v>
      </c>
      <c r="D22" s="548" t="s">
        <v>605</v>
      </c>
      <c r="E22" s="548"/>
      <c r="F22" s="548"/>
      <c r="G22" s="548"/>
      <c r="H22" s="548"/>
      <c r="I22" s="548"/>
      <c r="J22" s="548"/>
      <c r="K22" s="548"/>
    </row>
    <row r="23" spans="1:18" x14ac:dyDescent="0.25">
      <c r="A23" s="461"/>
      <c r="B23" s="549"/>
      <c r="C23" s="550"/>
      <c r="D23" s="548"/>
      <c r="E23" s="548"/>
      <c r="F23" s="548"/>
      <c r="G23" s="548"/>
      <c r="H23" s="548"/>
      <c r="I23" s="548"/>
      <c r="J23" s="548"/>
      <c r="K23" s="548"/>
    </row>
    <row r="24" spans="1:18" x14ac:dyDescent="0.25">
      <c r="A24" s="461"/>
      <c r="B24" s="549" t="s">
        <v>136</v>
      </c>
      <c r="C24" s="550">
        <v>2385858</v>
      </c>
      <c r="D24" s="548" t="s">
        <v>606</v>
      </c>
      <c r="E24" s="548"/>
      <c r="F24" s="548"/>
      <c r="G24" s="548"/>
      <c r="H24" s="548"/>
      <c r="I24" s="548"/>
      <c r="J24" s="548"/>
      <c r="K24" s="548"/>
    </row>
    <row r="25" spans="1:18" x14ac:dyDescent="0.25">
      <c r="A25" s="461"/>
      <c r="B25" s="549"/>
      <c r="C25" s="550"/>
      <c r="D25" s="548"/>
      <c r="E25" s="548"/>
      <c r="F25" s="548"/>
      <c r="G25" s="548"/>
      <c r="H25" s="548"/>
      <c r="I25" s="548"/>
      <c r="J25" s="548"/>
      <c r="K25" s="548"/>
      <c r="P25">
        <f>186000+119198.78+285330.32</f>
        <v>590529.10000000009</v>
      </c>
      <c r="R25">
        <f>866154.19+405000+162000+810000+142704.02</f>
        <v>2385858.21</v>
      </c>
    </row>
    <row r="26" spans="1:18" x14ac:dyDescent="0.25">
      <c r="A26" s="461"/>
      <c r="B26" s="464" t="s">
        <v>197</v>
      </c>
      <c r="C26" s="465">
        <v>101485.57</v>
      </c>
      <c r="D26" s="543" t="s">
        <v>607</v>
      </c>
      <c r="E26" s="544"/>
      <c r="F26" s="544"/>
      <c r="G26" s="544"/>
      <c r="H26" s="544"/>
      <c r="I26" s="544"/>
      <c r="J26" s="544"/>
      <c r="K26" s="545"/>
    </row>
    <row r="27" spans="1:18" x14ac:dyDescent="0.25">
      <c r="A27" s="461"/>
      <c r="B27" s="464" t="s">
        <v>200</v>
      </c>
      <c r="C27" s="465">
        <v>712500</v>
      </c>
      <c r="D27" s="542" t="s">
        <v>608</v>
      </c>
      <c r="E27" s="542"/>
      <c r="F27" s="542"/>
      <c r="G27" s="542"/>
      <c r="H27" s="542"/>
      <c r="I27" s="542"/>
      <c r="J27" s="542"/>
      <c r="K27" s="542"/>
    </row>
    <row r="28" spans="1:18" x14ac:dyDescent="0.25">
      <c r="A28" s="461"/>
      <c r="B28" s="464" t="s">
        <v>208</v>
      </c>
      <c r="C28" s="465">
        <v>1115631.6599999999</v>
      </c>
      <c r="D28" s="542" t="s">
        <v>613</v>
      </c>
      <c r="E28" s="542"/>
      <c r="F28" s="542"/>
      <c r="G28" s="542"/>
      <c r="H28" s="542"/>
      <c r="I28" s="542"/>
      <c r="J28" s="542"/>
      <c r="K28" s="542"/>
    </row>
    <row r="29" spans="1:18" hidden="1" x14ac:dyDescent="0.25">
      <c r="A29" s="461"/>
      <c r="B29" s="464" t="s">
        <v>216</v>
      </c>
      <c r="C29" s="465">
        <v>0</v>
      </c>
      <c r="D29" s="542" t="s">
        <v>609</v>
      </c>
      <c r="E29" s="542"/>
      <c r="F29" s="542"/>
      <c r="G29" s="542"/>
      <c r="H29" s="542"/>
      <c r="I29" s="542"/>
      <c r="J29" s="542"/>
      <c r="K29" s="542"/>
    </row>
    <row r="30" spans="1:18" x14ac:dyDescent="0.25">
      <c r="A30" s="461"/>
      <c r="B30" s="464" t="s">
        <v>225</v>
      </c>
      <c r="C30" s="465">
        <v>750000</v>
      </c>
      <c r="D30" s="542" t="s">
        <v>610</v>
      </c>
      <c r="E30" s="542"/>
      <c r="F30" s="542"/>
      <c r="G30" s="542"/>
      <c r="H30" s="542"/>
      <c r="I30" s="542"/>
      <c r="J30" s="542"/>
      <c r="K30" s="542"/>
    </row>
    <row r="31" spans="1:18" x14ac:dyDescent="0.25">
      <c r="A31" s="461"/>
      <c r="B31" s="464" t="s">
        <v>259</v>
      </c>
      <c r="C31" s="465">
        <v>540000</v>
      </c>
      <c r="D31" s="542" t="s">
        <v>614</v>
      </c>
      <c r="E31" s="542"/>
      <c r="F31" s="542"/>
      <c r="G31" s="542"/>
      <c r="H31" s="542"/>
      <c r="I31" s="542"/>
      <c r="J31" s="542"/>
      <c r="K31" s="542"/>
      <c r="Q31">
        <v>225000</v>
      </c>
    </row>
    <row r="32" spans="1:18" hidden="1" x14ac:dyDescent="0.25">
      <c r="A32" s="461"/>
      <c r="B32" s="464" t="s">
        <v>279</v>
      </c>
      <c r="C32" s="465">
        <v>0</v>
      </c>
      <c r="D32" s="542" t="s">
        <v>611</v>
      </c>
      <c r="E32" s="542"/>
      <c r="F32" s="542"/>
      <c r="G32" s="542"/>
      <c r="H32" s="542"/>
      <c r="I32" s="542"/>
      <c r="J32" s="542"/>
      <c r="K32" s="542"/>
      <c r="Q32">
        <v>315000</v>
      </c>
    </row>
    <row r="33" spans="1:11" x14ac:dyDescent="0.25">
      <c r="A33" s="461"/>
      <c r="B33" s="464" t="s">
        <v>293</v>
      </c>
      <c r="C33" s="465">
        <v>85000</v>
      </c>
      <c r="D33" s="542" t="s">
        <v>615</v>
      </c>
      <c r="E33" s="542"/>
      <c r="F33" s="542"/>
      <c r="G33" s="542"/>
      <c r="H33" s="542"/>
      <c r="I33" s="542"/>
      <c r="J33" s="542"/>
      <c r="K33" s="542"/>
    </row>
    <row r="34" spans="1:11" x14ac:dyDescent="0.25">
      <c r="A34" s="461"/>
      <c r="B34" s="464" t="s">
        <v>301</v>
      </c>
      <c r="C34" s="465">
        <f>505400.72</f>
        <v>505400.72</v>
      </c>
      <c r="D34" s="542" t="s">
        <v>612</v>
      </c>
      <c r="E34" s="542"/>
      <c r="F34" s="542"/>
      <c r="G34" s="542"/>
      <c r="H34" s="542"/>
      <c r="I34" s="542"/>
      <c r="J34" s="542"/>
      <c r="K34" s="542"/>
    </row>
    <row r="35" spans="1:11" hidden="1" x14ac:dyDescent="0.25">
      <c r="A35" s="461"/>
      <c r="B35" s="464" t="s">
        <v>356</v>
      </c>
      <c r="C35" s="465"/>
      <c r="D35" s="466"/>
      <c r="E35" s="466"/>
      <c r="F35" s="466"/>
      <c r="G35" s="466"/>
      <c r="H35" s="466"/>
      <c r="I35" s="466"/>
      <c r="J35" s="466"/>
      <c r="K35" s="466"/>
    </row>
    <row r="36" spans="1:11" x14ac:dyDescent="0.25">
      <c r="A36" s="461"/>
      <c r="B36" s="464" t="s">
        <v>56</v>
      </c>
      <c r="C36" s="465">
        <v>1155789.23</v>
      </c>
      <c r="D36" s="542" t="s">
        <v>616</v>
      </c>
      <c r="E36" s="542"/>
      <c r="F36" s="542"/>
      <c r="G36" s="542"/>
      <c r="H36" s="542"/>
      <c r="I36" s="542"/>
      <c r="J36" s="542"/>
      <c r="K36" s="542"/>
    </row>
    <row r="37" spans="1:11" x14ac:dyDescent="0.25">
      <c r="A37" s="461"/>
      <c r="B37" s="464" t="s">
        <v>373</v>
      </c>
      <c r="C37" s="465">
        <v>159680.56</v>
      </c>
      <c r="D37" s="542" t="s">
        <v>625</v>
      </c>
      <c r="E37" s="542"/>
      <c r="F37" s="542"/>
      <c r="G37" s="542"/>
      <c r="H37" s="542"/>
      <c r="I37" s="542"/>
      <c r="J37" s="542"/>
      <c r="K37" s="542"/>
    </row>
    <row r="38" spans="1:11" x14ac:dyDescent="0.25">
      <c r="A38" s="461"/>
      <c r="B38" s="467" t="s">
        <v>617</v>
      </c>
      <c r="C38" s="468">
        <f>SUM(C22:C37)</f>
        <v>8113874.8399999989</v>
      </c>
      <c r="D38" s="469"/>
      <c r="E38" s="469"/>
      <c r="F38" s="469"/>
      <c r="G38" s="469"/>
      <c r="H38" s="469"/>
      <c r="I38" s="469"/>
      <c r="J38" s="469"/>
      <c r="K38" s="470"/>
    </row>
    <row r="39" spans="1:11" x14ac:dyDescent="0.25">
      <c r="B39" s="460"/>
      <c r="C39" s="459"/>
    </row>
    <row r="40" spans="1:11" x14ac:dyDescent="0.25">
      <c r="B40" s="460"/>
      <c r="C40" s="459"/>
    </row>
    <row r="41" spans="1:11" x14ac:dyDescent="0.25">
      <c r="B41" s="460"/>
      <c r="C41" s="459"/>
    </row>
    <row r="42" spans="1:11" x14ac:dyDescent="0.25">
      <c r="B42" s="460"/>
      <c r="C42" s="459"/>
    </row>
    <row r="43" spans="1:11" x14ac:dyDescent="0.25">
      <c r="B43" s="460"/>
      <c r="C43" s="459"/>
    </row>
    <row r="44" spans="1:11" x14ac:dyDescent="0.25">
      <c r="B44" s="460"/>
      <c r="C44" s="459"/>
    </row>
    <row r="45" spans="1:11" x14ac:dyDescent="0.25">
      <c r="B45" s="460"/>
      <c r="C45" s="459"/>
    </row>
    <row r="46" spans="1:11" x14ac:dyDescent="0.25">
      <c r="B46" s="460"/>
      <c r="C46" s="459"/>
    </row>
    <row r="47" spans="1:11" x14ac:dyDescent="0.25">
      <c r="B47" s="460"/>
      <c r="C47" s="459"/>
    </row>
    <row r="48" spans="1:11" x14ac:dyDescent="0.25">
      <c r="B48" s="460"/>
      <c r="C48" s="459"/>
    </row>
    <row r="49" spans="2:3" x14ac:dyDescent="0.25">
      <c r="B49" s="460"/>
      <c r="C49" s="459"/>
    </row>
    <row r="50" spans="2:3" x14ac:dyDescent="0.25">
      <c r="B50" s="460"/>
      <c r="C50" s="459"/>
    </row>
    <row r="51" spans="2:3" x14ac:dyDescent="0.25">
      <c r="B51" s="460"/>
      <c r="C51" s="459"/>
    </row>
    <row r="52" spans="2:3" x14ac:dyDescent="0.25">
      <c r="B52" s="460"/>
      <c r="C52" s="459"/>
    </row>
    <row r="53" spans="2:3" x14ac:dyDescent="0.25">
      <c r="B53" s="460"/>
      <c r="C53" s="459"/>
    </row>
    <row r="54" spans="2:3" x14ac:dyDescent="0.25">
      <c r="B54" s="460"/>
      <c r="C54" s="459"/>
    </row>
    <row r="55" spans="2:3" x14ac:dyDescent="0.25">
      <c r="B55" s="460"/>
      <c r="C55" s="459"/>
    </row>
    <row r="56" spans="2:3" x14ac:dyDescent="0.25">
      <c r="B56" s="460"/>
      <c r="C56" s="459"/>
    </row>
    <row r="57" spans="2:3" x14ac:dyDescent="0.25">
      <c r="B57" s="460"/>
      <c r="C57" s="459"/>
    </row>
    <row r="58" spans="2:3" x14ac:dyDescent="0.25">
      <c r="B58" s="460"/>
      <c r="C58" s="459"/>
    </row>
    <row r="59" spans="2:3" x14ac:dyDescent="0.25">
      <c r="B59" s="460"/>
      <c r="C59" s="459"/>
    </row>
    <row r="60" spans="2:3" x14ac:dyDescent="0.25">
      <c r="B60" s="460"/>
      <c r="C60" s="459"/>
    </row>
    <row r="61" spans="2:3" x14ac:dyDescent="0.25">
      <c r="B61" s="460"/>
      <c r="C61" s="459"/>
    </row>
    <row r="62" spans="2:3" x14ac:dyDescent="0.25">
      <c r="B62" s="460"/>
      <c r="C62" s="459"/>
    </row>
    <row r="63" spans="2:3" x14ac:dyDescent="0.25">
      <c r="B63" s="460"/>
      <c r="C63" s="459"/>
    </row>
    <row r="64" spans="2:3" x14ac:dyDescent="0.25">
      <c r="C64" s="459"/>
    </row>
    <row r="65" spans="3:3" x14ac:dyDescent="0.25">
      <c r="C65" s="459"/>
    </row>
    <row r="66" spans="3:3" x14ac:dyDescent="0.25">
      <c r="C66" s="459"/>
    </row>
    <row r="67" spans="3:3" x14ac:dyDescent="0.25">
      <c r="C67" s="459"/>
    </row>
    <row r="68" spans="3:3" x14ac:dyDescent="0.25">
      <c r="C68" s="459"/>
    </row>
    <row r="69" spans="3:3" x14ac:dyDescent="0.25">
      <c r="C69" s="459"/>
    </row>
    <row r="70" spans="3:3" x14ac:dyDescent="0.25">
      <c r="C70" s="459"/>
    </row>
    <row r="71" spans="3:3" x14ac:dyDescent="0.25">
      <c r="C71" s="459"/>
    </row>
    <row r="72" spans="3:3" x14ac:dyDescent="0.25">
      <c r="C72" s="459"/>
    </row>
    <row r="73" spans="3:3" x14ac:dyDescent="0.25">
      <c r="C73" s="459"/>
    </row>
    <row r="74" spans="3:3" x14ac:dyDescent="0.25">
      <c r="C74" s="459"/>
    </row>
  </sheetData>
  <mergeCells count="22">
    <mergeCell ref="D37:K37"/>
    <mergeCell ref="D34:K34"/>
    <mergeCell ref="D36:K36"/>
    <mergeCell ref="D27:K27"/>
    <mergeCell ref="D28:K28"/>
    <mergeCell ref="D29:K29"/>
    <mergeCell ref="D30:K30"/>
    <mergeCell ref="B4:K6"/>
    <mergeCell ref="B2:K2"/>
    <mergeCell ref="D31:K31"/>
    <mergeCell ref="D32:K32"/>
    <mergeCell ref="D33:K33"/>
    <mergeCell ref="D26:K26"/>
    <mergeCell ref="B15:J16"/>
    <mergeCell ref="D21:F21"/>
    <mergeCell ref="D22:K23"/>
    <mergeCell ref="B22:B23"/>
    <mergeCell ref="C22:C23"/>
    <mergeCell ref="D24:K25"/>
    <mergeCell ref="B24:B25"/>
    <mergeCell ref="C24:C25"/>
    <mergeCell ref="B19:K19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Оптимизация новая</vt:lpstr>
      <vt:lpstr>Лист2</vt:lpstr>
      <vt:lpstr>Лист3</vt:lpstr>
      <vt:lpstr>'Оптимизация новая'!Область_печати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2019-04-08T05:37:06Z</dcterms:modified>
</cp:coreProperties>
</file>