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8240" windowHeight="8940" tabRatio="599"/>
  </bookViews>
  <sheets>
    <sheet name="Table1" sheetId="1" r:id="rId1"/>
  </sheets>
  <definedNames>
    <definedName name="_xlnm._FilterDatabase" localSheetId="0" hidden="1">Table1!$A$10:$DU$104</definedName>
    <definedName name="_xlnm.Print_Titles" localSheetId="0">Table1!$1:$10</definedName>
    <definedName name="_xlnm.Print_Area" localSheetId="0">Table1!$A$1:$DU$102</definedName>
  </definedNames>
  <calcPr calcId="152511"/>
</workbook>
</file>

<file path=xl/calcChain.xml><?xml version="1.0" encoding="utf-8"?>
<calcChain xmlns="http://schemas.openxmlformats.org/spreadsheetml/2006/main">
  <c r="BL14" i="1" l="1"/>
  <c r="BD104" i="1"/>
  <c r="BG14" i="1"/>
  <c r="BH53" i="1"/>
  <c r="BC53" i="1"/>
  <c r="BH51" i="1"/>
  <c r="BC51" i="1"/>
  <c r="BH48" i="1"/>
  <c r="BC48" i="1"/>
  <c r="BH47" i="1"/>
  <c r="BC47" i="1"/>
  <c r="BH20" i="1"/>
  <c r="BC20" i="1"/>
  <c r="BC17" i="1"/>
  <c r="BH70" i="1"/>
  <c r="BC70" i="1"/>
  <c r="BH71" i="1"/>
  <c r="BC71" i="1"/>
  <c r="BH73" i="1"/>
  <c r="BC73" i="1"/>
  <c r="BG16" i="1"/>
  <c r="BL16" i="1"/>
  <c r="BL23" i="1"/>
  <c r="BG23" i="1"/>
  <c r="BC30" i="1"/>
  <c r="BG43" i="1"/>
  <c r="BG44" i="1"/>
  <c r="BL44" i="1"/>
  <c r="BH46" i="1"/>
  <c r="BC46" i="1"/>
  <c r="BG46" i="1"/>
  <c r="BL48" i="1"/>
  <c r="BG48" i="1"/>
  <c r="BH57" i="1"/>
  <c r="BC57" i="1"/>
  <c r="BL60" i="1"/>
  <c r="BG60" i="1"/>
  <c r="BJ70" i="1"/>
  <c r="BE70" i="1"/>
  <c r="BJ78" i="1"/>
  <c r="BE78" i="1"/>
  <c r="BH86" i="1"/>
  <c r="BC86" i="1"/>
  <c r="BC94" i="1"/>
  <c r="BC99" i="1"/>
  <c r="BC100" i="1"/>
  <c r="AW14" i="1"/>
  <c r="BB14" i="1"/>
  <c r="AX51" i="1"/>
  <c r="AS20" i="1"/>
  <c r="AS14" i="1"/>
  <c r="AS13" i="1" s="1"/>
  <c r="AS15" i="1"/>
  <c r="AS16" i="1"/>
  <c r="AS19" i="1"/>
  <c r="AS21" i="1"/>
  <c r="AS22" i="1"/>
  <c r="AS23" i="1"/>
  <c r="AS24" i="1"/>
  <c r="AS25" i="1"/>
  <c r="AS26" i="1"/>
  <c r="AS27" i="1"/>
  <c r="AS28" i="1"/>
  <c r="AS29" i="1"/>
  <c r="AS30" i="1"/>
  <c r="AS31" i="1"/>
  <c r="AS33" i="1"/>
  <c r="AS35" i="1"/>
  <c r="AS36" i="1"/>
  <c r="AS37" i="1"/>
  <c r="AS38" i="1"/>
  <c r="AS39" i="1"/>
  <c r="AS41" i="1"/>
  <c r="AS40" i="1" s="1"/>
  <c r="AS42" i="1"/>
  <c r="AS43" i="1"/>
  <c r="AS44" i="1"/>
  <c r="AS47" i="1"/>
  <c r="AS48" i="1"/>
  <c r="AS45" i="1" s="1"/>
  <c r="AS49" i="1"/>
  <c r="AS52" i="1"/>
  <c r="AS56" i="1"/>
  <c r="AS57" i="1"/>
  <c r="AS55" i="1" s="1"/>
  <c r="AS60" i="1"/>
  <c r="AS59" i="1" s="1"/>
  <c r="AS62" i="1"/>
  <c r="AS61" i="1" s="1"/>
  <c r="AS63" i="1"/>
  <c r="AS65" i="1"/>
  <c r="AS70" i="1"/>
  <c r="AS71" i="1"/>
  <c r="AS69" i="1" s="1"/>
  <c r="AS64" i="1" s="1"/>
  <c r="AS72" i="1"/>
  <c r="AS73" i="1"/>
  <c r="AS74" i="1"/>
  <c r="AS75" i="1"/>
  <c r="AS76" i="1"/>
  <c r="AS77" i="1"/>
  <c r="AS78" i="1"/>
  <c r="AS79" i="1"/>
  <c r="AS80" i="1"/>
  <c r="AS81" i="1"/>
  <c r="AS83" i="1"/>
  <c r="AS82" i="1" s="1"/>
  <c r="AS84" i="1"/>
  <c r="AS88" i="1"/>
  <c r="AS87" i="1" s="1"/>
  <c r="AS90" i="1"/>
  <c r="AS93" i="1"/>
  <c r="AS92" i="1" s="1"/>
  <c r="AS94" i="1"/>
  <c r="AS95" i="1"/>
  <c r="AS96" i="1"/>
  <c r="AS97" i="1"/>
  <c r="AS98" i="1"/>
  <c r="AS99" i="1"/>
  <c r="AS100" i="1"/>
  <c r="AS101" i="1"/>
  <c r="AU70" i="1"/>
  <c r="AU14" i="1"/>
  <c r="AW22" i="1"/>
  <c r="AV22" i="1"/>
  <c r="AW23" i="1"/>
  <c r="AU16" i="1"/>
  <c r="AS89" i="1" l="1"/>
  <c r="AS85" i="1" s="1"/>
  <c r="AS54" i="1"/>
  <c r="AS12" i="1"/>
  <c r="AX22" i="1"/>
  <c r="AX23" i="1"/>
  <c r="AZ70" i="1"/>
  <c r="AZ78" i="1"/>
  <c r="BA62" i="1"/>
  <c r="BB62" i="1"/>
  <c r="AS11" i="1" l="1"/>
  <c r="AX38" i="1"/>
  <c r="BB38" i="1"/>
  <c r="BA38" i="1"/>
  <c r="BB37" i="1"/>
  <c r="BA37" i="1"/>
  <c r="AX26" i="1"/>
  <c r="BB26" i="1"/>
  <c r="BB25" i="1"/>
  <c r="BB22" i="1"/>
  <c r="BA22" i="1"/>
  <c r="AX21" i="1"/>
  <c r="BA21" i="1"/>
  <c r="BB21" i="1"/>
  <c r="BB16" i="1"/>
  <c r="BB18" i="1"/>
  <c r="BB23" i="1"/>
  <c r="BB46" i="1" l="1"/>
  <c r="AX50" i="1"/>
  <c r="AX48" i="1"/>
  <c r="AX16" i="1"/>
  <c r="AX17" i="1"/>
  <c r="AX18" i="1"/>
  <c r="AX20" i="1"/>
  <c r="AX27" i="1"/>
  <c r="AX53" i="1"/>
  <c r="AX62" i="1"/>
  <c r="AX72" i="1"/>
  <c r="AX73" i="1"/>
  <c r="AX86" i="1"/>
  <c r="AX95" i="1"/>
  <c r="AX96" i="1"/>
  <c r="AX98" i="1"/>
  <c r="AX100" i="1"/>
  <c r="AX71" i="1"/>
  <c r="AX70" i="1"/>
  <c r="BB49" i="1"/>
  <c r="AX46" i="1"/>
  <c r="BB60" i="1"/>
  <c r="AX57" i="1" l="1"/>
  <c r="AX52" i="1"/>
  <c r="BB48" i="1"/>
  <c r="AX47" i="1"/>
  <c r="AX44" i="1"/>
  <c r="AX43" i="1"/>
  <c r="BC41" i="1"/>
  <c r="AX37" i="1"/>
  <c r="AX36" i="1"/>
  <c r="AX35" i="1"/>
  <c r="AX34" i="1"/>
  <c r="AX32" i="1"/>
  <c r="AX28" i="1"/>
  <c r="BB28" i="1"/>
  <c r="AW48" i="1"/>
  <c r="AW31" i="1" l="1"/>
  <c r="AW37" i="1"/>
  <c r="CP23" i="1" l="1"/>
  <c r="CP14" i="1"/>
  <c r="CP49" i="1"/>
  <c r="CL46" i="1"/>
  <c r="CP46" i="1"/>
  <c r="CP41" i="1"/>
  <c r="CP62" i="1"/>
  <c r="CL103" i="1"/>
  <c r="CK23" i="1"/>
  <c r="CK22" i="1"/>
  <c r="CK49" i="1"/>
  <c r="CK14" i="1"/>
  <c r="CK46" i="1"/>
  <c r="CG46" i="1"/>
  <c r="CK41" i="1"/>
  <c r="CK62" i="1"/>
  <c r="CG103" i="1"/>
  <c r="DP103" i="1"/>
  <c r="DP101" i="1"/>
  <c r="DT100" i="1"/>
  <c r="DT99" i="1"/>
  <c r="DT98" i="1"/>
  <c r="DT97" i="1"/>
  <c r="DT96" i="1"/>
  <c r="DT95" i="1"/>
  <c r="DT94" i="1"/>
  <c r="DS92" i="1"/>
  <c r="DR92" i="1"/>
  <c r="DQ92" i="1"/>
  <c r="DP92" i="1"/>
  <c r="DT90" i="1"/>
  <c r="DS90" i="1"/>
  <c r="DR90" i="1"/>
  <c r="DQ90" i="1"/>
  <c r="DP90" i="1"/>
  <c r="DT87" i="1"/>
  <c r="DS87" i="1"/>
  <c r="DR87" i="1"/>
  <c r="DQ87" i="1"/>
  <c r="DP87" i="1"/>
  <c r="DR86" i="1"/>
  <c r="DR84" i="1"/>
  <c r="DP84" i="1" s="1"/>
  <c r="DR83" i="1"/>
  <c r="DP83" i="1" s="1"/>
  <c r="DT82" i="1"/>
  <c r="DS82" i="1"/>
  <c r="DQ82" i="1"/>
  <c r="DP81" i="1"/>
  <c r="DP80" i="1"/>
  <c r="DR79" i="1"/>
  <c r="DP79" i="1"/>
  <c r="DR78" i="1"/>
  <c r="DP78" i="1"/>
  <c r="DP77" i="1"/>
  <c r="DP76" i="1"/>
  <c r="DR74" i="1"/>
  <c r="DP74" i="1"/>
  <c r="DR73" i="1"/>
  <c r="DR71" i="1"/>
  <c r="DR70" i="1"/>
  <c r="DT69" i="1"/>
  <c r="DS69" i="1"/>
  <c r="DQ69" i="1"/>
  <c r="DT65" i="1"/>
  <c r="DS65" i="1"/>
  <c r="DR65" i="1"/>
  <c r="DQ65" i="1"/>
  <c r="DQ64" i="1" s="1"/>
  <c r="DP65" i="1"/>
  <c r="DT63" i="1"/>
  <c r="DT62" i="1"/>
  <c r="DP62" i="1" s="1"/>
  <c r="DP61" i="1" s="1"/>
  <c r="DS61" i="1"/>
  <c r="DR61" i="1"/>
  <c r="DQ61" i="1"/>
  <c r="DT60" i="1"/>
  <c r="DT59" i="1" s="1"/>
  <c r="DP60" i="1"/>
  <c r="DP59" i="1" s="1"/>
  <c r="DS59" i="1"/>
  <c r="DR59" i="1"/>
  <c r="DQ59" i="1"/>
  <c r="DT57" i="1"/>
  <c r="DT55" i="1" s="1"/>
  <c r="DP56" i="1"/>
  <c r="DP55" i="1" s="1"/>
  <c r="DS55" i="1"/>
  <c r="DR55" i="1"/>
  <c r="DQ55" i="1"/>
  <c r="DT53" i="1"/>
  <c r="DT52" i="1"/>
  <c r="DP52" i="1" s="1"/>
  <c r="DT51" i="1"/>
  <c r="DT50" i="1"/>
  <c r="DT49" i="1"/>
  <c r="DP49" i="1" s="1"/>
  <c r="DT48" i="1"/>
  <c r="DT47" i="1"/>
  <c r="DT46" i="1"/>
  <c r="DP46" i="1" s="1"/>
  <c r="DS45" i="1"/>
  <c r="DR45" i="1"/>
  <c r="DQ45" i="1"/>
  <c r="DT44" i="1"/>
  <c r="DT43" i="1"/>
  <c r="DP42" i="1"/>
  <c r="DT41" i="1"/>
  <c r="DP41" i="1" s="1"/>
  <c r="DS40" i="1"/>
  <c r="DR40" i="1"/>
  <c r="DQ40" i="1"/>
  <c r="DT39" i="1"/>
  <c r="DP39" i="1" s="1"/>
  <c r="DT38" i="1"/>
  <c r="DP38" i="1"/>
  <c r="DT37" i="1"/>
  <c r="DT35" i="1"/>
  <c r="DT31" i="1"/>
  <c r="DT30" i="1"/>
  <c r="DP30" i="1" s="1"/>
  <c r="DT29" i="1"/>
  <c r="DP29" i="1" s="1"/>
  <c r="DT28" i="1"/>
  <c r="DT27" i="1"/>
  <c r="DT26" i="1"/>
  <c r="DP26" i="1" s="1"/>
  <c r="DP25" i="1"/>
  <c r="DT24" i="1"/>
  <c r="DP24" i="1" s="1"/>
  <c r="DT23" i="1"/>
  <c r="DP23" i="1" s="1"/>
  <c r="DT22" i="1"/>
  <c r="DP22" i="1" s="1"/>
  <c r="DP21" i="1"/>
  <c r="DT20" i="1"/>
  <c r="DP19" i="1"/>
  <c r="DT18" i="1"/>
  <c r="DT17" i="1"/>
  <c r="DT16" i="1"/>
  <c r="DT15" i="1"/>
  <c r="DP15" i="1" s="1"/>
  <c r="DT14" i="1"/>
  <c r="DP14" i="1" s="1"/>
  <c r="DS13" i="1"/>
  <c r="DR13" i="1"/>
  <c r="DQ13" i="1"/>
  <c r="CF22" i="1"/>
  <c r="CF15" i="1"/>
  <c r="CF38" i="1"/>
  <c r="CF24" i="1"/>
  <c r="CP22" i="1"/>
  <c r="CN84" i="1"/>
  <c r="CI84" i="1"/>
  <c r="CD83" i="1"/>
  <c r="CF49" i="1"/>
  <c r="CP29" i="1"/>
  <c r="CK29" i="1"/>
  <c r="CF29" i="1"/>
  <c r="CN74" i="1"/>
  <c r="CI74" i="1"/>
  <c r="CD74" i="1"/>
  <c r="CD84" i="1"/>
  <c r="CF23" i="1"/>
  <c r="CN79" i="1"/>
  <c r="CI79" i="1"/>
  <c r="CD79" i="1"/>
  <c r="CF14" i="1"/>
  <c r="CF46" i="1"/>
  <c r="CB46" i="1" s="1"/>
  <c r="CF41" i="1"/>
  <c r="CF62" i="1"/>
  <c r="CB103" i="1"/>
  <c r="DK103" i="1"/>
  <c r="DO100" i="1"/>
  <c r="DO99" i="1"/>
  <c r="DO98" i="1"/>
  <c r="DO97" i="1"/>
  <c r="DO96" i="1"/>
  <c r="DO95" i="1"/>
  <c r="DN92" i="1"/>
  <c r="DM92" i="1"/>
  <c r="DL92" i="1"/>
  <c r="DK92" i="1"/>
  <c r="DO90" i="1"/>
  <c r="DN90" i="1"/>
  <c r="DM90" i="1"/>
  <c r="DL90" i="1"/>
  <c r="DK90" i="1"/>
  <c r="DO87" i="1"/>
  <c r="DN87" i="1"/>
  <c r="DM87" i="1"/>
  <c r="DL87" i="1"/>
  <c r="DK87" i="1"/>
  <c r="DM86" i="1"/>
  <c r="DM84" i="1"/>
  <c r="DK84" i="1" s="1"/>
  <c r="DM83" i="1"/>
  <c r="DK83" i="1" s="1"/>
  <c r="DO82" i="1"/>
  <c r="DN82" i="1"/>
  <c r="DL82" i="1"/>
  <c r="DK81" i="1"/>
  <c r="DK80" i="1"/>
  <c r="DM79" i="1"/>
  <c r="DK79" i="1"/>
  <c r="DM78" i="1"/>
  <c r="DK78" i="1"/>
  <c r="DK77" i="1"/>
  <c r="DK76" i="1"/>
  <c r="DM75" i="1"/>
  <c r="DK75" i="1"/>
  <c r="DM74" i="1"/>
  <c r="DK74" i="1"/>
  <c r="DM73" i="1"/>
  <c r="DM72" i="1"/>
  <c r="DM71" i="1"/>
  <c r="DM70" i="1"/>
  <c r="DO69" i="1"/>
  <c r="DN69" i="1"/>
  <c r="DL69" i="1"/>
  <c r="DL68" i="1"/>
  <c r="DL66" i="1"/>
  <c r="DO65" i="1"/>
  <c r="DN65" i="1"/>
  <c r="DM65" i="1"/>
  <c r="DK65" i="1"/>
  <c r="DO63" i="1"/>
  <c r="DO61" i="1" s="1"/>
  <c r="DO62" i="1"/>
  <c r="DN62" i="1"/>
  <c r="DK62" i="1" s="1"/>
  <c r="DK61" i="1" s="1"/>
  <c r="DM61" i="1"/>
  <c r="DL61" i="1"/>
  <c r="DO60" i="1"/>
  <c r="DO59" i="1" s="1"/>
  <c r="DK60" i="1"/>
  <c r="DK59" i="1" s="1"/>
  <c r="DN59" i="1"/>
  <c r="DM59" i="1"/>
  <c r="DL59" i="1"/>
  <c r="DO57" i="1"/>
  <c r="DO56" i="1"/>
  <c r="DK56" i="1"/>
  <c r="DK55" i="1" s="1"/>
  <c r="DN55" i="1"/>
  <c r="DM55" i="1"/>
  <c r="DL55" i="1"/>
  <c r="DO53" i="1"/>
  <c r="DO52" i="1"/>
  <c r="DN52" i="1"/>
  <c r="DN45" i="1" s="1"/>
  <c r="DO51" i="1"/>
  <c r="DO50" i="1"/>
  <c r="DO49" i="1"/>
  <c r="DK49" i="1"/>
  <c r="DO48" i="1"/>
  <c r="DO47" i="1"/>
  <c r="DO46" i="1"/>
  <c r="DK46" i="1"/>
  <c r="DM45" i="1"/>
  <c r="DL45" i="1"/>
  <c r="DO44" i="1"/>
  <c r="DO43" i="1"/>
  <c r="DK42" i="1"/>
  <c r="DO41" i="1"/>
  <c r="DK41" i="1"/>
  <c r="DN40" i="1"/>
  <c r="DM40" i="1"/>
  <c r="DL40" i="1"/>
  <c r="DO39" i="1"/>
  <c r="DK39" i="1" s="1"/>
  <c r="DO38" i="1"/>
  <c r="DK38" i="1" s="1"/>
  <c r="DN38" i="1"/>
  <c r="DO37" i="1"/>
  <c r="DO36" i="1"/>
  <c r="DK36" i="1" s="1"/>
  <c r="DM36" i="1"/>
  <c r="DO35" i="1"/>
  <c r="DO34" i="1"/>
  <c r="DO31" i="1"/>
  <c r="DO30" i="1"/>
  <c r="DN30" i="1"/>
  <c r="DK30" i="1"/>
  <c r="DO29" i="1"/>
  <c r="DK29" i="1" s="1"/>
  <c r="DO28" i="1"/>
  <c r="DO27" i="1"/>
  <c r="DO26" i="1"/>
  <c r="DK26" i="1" s="1"/>
  <c r="DK25" i="1"/>
  <c r="DO24" i="1"/>
  <c r="DK24" i="1" s="1"/>
  <c r="DN24" i="1"/>
  <c r="DO23" i="1"/>
  <c r="DN23" i="1"/>
  <c r="DK23" i="1" s="1"/>
  <c r="DO22" i="1"/>
  <c r="DN22" i="1"/>
  <c r="DK22" i="1" s="1"/>
  <c r="DK21" i="1"/>
  <c r="DO20" i="1"/>
  <c r="DK20" i="1" s="1"/>
  <c r="DO19" i="1"/>
  <c r="DK19" i="1" s="1"/>
  <c r="DO18" i="1"/>
  <c r="DO17" i="1"/>
  <c r="DO16" i="1"/>
  <c r="DK16" i="1" s="1"/>
  <c r="DO15" i="1"/>
  <c r="DK15" i="1" s="1"/>
  <c r="DO14" i="1"/>
  <c r="DK14" i="1" s="1"/>
  <c r="DM13" i="1"/>
  <c r="DL13" i="1"/>
  <c r="BW103" i="1"/>
  <c r="CA38" i="1"/>
  <c r="CA22" i="1"/>
  <c r="BY83" i="1"/>
  <c r="BY82" i="1" s="1"/>
  <c r="CA24" i="1"/>
  <c r="BZ22" i="1"/>
  <c r="CA15" i="1"/>
  <c r="CA49" i="1"/>
  <c r="BW49" i="1" s="1"/>
  <c r="CA30" i="1"/>
  <c r="CA56" i="1"/>
  <c r="CA29" i="1"/>
  <c r="CA23" i="1"/>
  <c r="BY84" i="1"/>
  <c r="BY74" i="1"/>
  <c r="BY79" i="1"/>
  <c r="CA26" i="1"/>
  <c r="BW26" i="1" s="1"/>
  <c r="CA14" i="1"/>
  <c r="CA20" i="1"/>
  <c r="BW20" i="1"/>
  <c r="BW46" i="1"/>
  <c r="CA46" i="1"/>
  <c r="CA36" i="1"/>
  <c r="BY36" i="1"/>
  <c r="BW22" i="1"/>
  <c r="CA62" i="1"/>
  <c r="BZ62" i="1"/>
  <c r="CA41" i="1"/>
  <c r="BW75" i="1"/>
  <c r="BY75" i="1"/>
  <c r="BW16" i="1"/>
  <c r="CA16" i="1"/>
  <c r="CA100" i="1"/>
  <c r="CA99" i="1"/>
  <c r="CA98" i="1"/>
  <c r="CA97" i="1"/>
  <c r="CA96" i="1"/>
  <c r="CA95" i="1"/>
  <c r="BZ92" i="1"/>
  <c r="BY92" i="1"/>
  <c r="BX92" i="1"/>
  <c r="BW92" i="1"/>
  <c r="CA90" i="1"/>
  <c r="BZ90" i="1"/>
  <c r="BY90" i="1"/>
  <c r="BX90" i="1"/>
  <c r="BW90" i="1"/>
  <c r="CA87" i="1"/>
  <c r="BZ87" i="1"/>
  <c r="BY87" i="1"/>
  <c r="BX87" i="1"/>
  <c r="BW87" i="1"/>
  <c r="BY86" i="1"/>
  <c r="BW84" i="1"/>
  <c r="CA82" i="1"/>
  <c r="BZ82" i="1"/>
  <c r="BX82" i="1"/>
  <c r="BW81" i="1"/>
  <c r="BW80" i="1"/>
  <c r="BW79" i="1"/>
  <c r="BY78" i="1"/>
  <c r="BW78" i="1" s="1"/>
  <c r="BW77" i="1"/>
  <c r="BW76" i="1"/>
  <c r="BW74" i="1"/>
  <c r="BY73" i="1"/>
  <c r="BY72" i="1"/>
  <c r="BY71" i="1"/>
  <c r="BY70" i="1"/>
  <c r="CA69" i="1"/>
  <c r="BZ69" i="1"/>
  <c r="BX69" i="1"/>
  <c r="BX68" i="1"/>
  <c r="BX66" i="1"/>
  <c r="CA65" i="1"/>
  <c r="BZ65" i="1"/>
  <c r="BY65" i="1"/>
  <c r="BW65" i="1"/>
  <c r="CA63" i="1"/>
  <c r="CA61" i="1" s="1"/>
  <c r="BW62" i="1"/>
  <c r="BW61" i="1" s="1"/>
  <c r="BZ61" i="1"/>
  <c r="BY61" i="1"/>
  <c r="BX61" i="1"/>
  <c r="CA60" i="1"/>
  <c r="BW60" i="1" s="1"/>
  <c r="BW59" i="1" s="1"/>
  <c r="BZ59" i="1"/>
  <c r="BY59" i="1"/>
  <c r="BX59" i="1"/>
  <c r="CA57" i="1"/>
  <c r="CA55" i="1" s="1"/>
  <c r="BW56" i="1"/>
  <c r="BW55" i="1" s="1"/>
  <c r="BZ55" i="1"/>
  <c r="BY55" i="1"/>
  <c r="BX55" i="1"/>
  <c r="CA53" i="1"/>
  <c r="CA52" i="1"/>
  <c r="BW52" i="1" s="1"/>
  <c r="BZ52" i="1"/>
  <c r="BZ45" i="1" s="1"/>
  <c r="CA51" i="1"/>
  <c r="CA50" i="1"/>
  <c r="CA48" i="1"/>
  <c r="CA47" i="1"/>
  <c r="BY45" i="1"/>
  <c r="BX45" i="1"/>
  <c r="CA44" i="1"/>
  <c r="CA43" i="1"/>
  <c r="BW42" i="1"/>
  <c r="BW41" i="1"/>
  <c r="BZ40" i="1"/>
  <c r="BY40" i="1"/>
  <c r="BX40" i="1"/>
  <c r="CA39" i="1"/>
  <c r="BW39" i="1"/>
  <c r="BZ38" i="1"/>
  <c r="BW38" i="1" s="1"/>
  <c r="CA37" i="1"/>
  <c r="BW36" i="1"/>
  <c r="CA35" i="1"/>
  <c r="CA34" i="1"/>
  <c r="CA31" i="1"/>
  <c r="BW30" i="1"/>
  <c r="BZ30" i="1"/>
  <c r="BW29" i="1"/>
  <c r="CA28" i="1"/>
  <c r="CA27" i="1"/>
  <c r="BW25" i="1"/>
  <c r="BZ24" i="1"/>
  <c r="BW24" i="1"/>
  <c r="BZ23" i="1"/>
  <c r="BW23" i="1"/>
  <c r="BW21" i="1"/>
  <c r="CA19" i="1"/>
  <c r="BW19" i="1" s="1"/>
  <c r="CA18" i="1"/>
  <c r="CA17" i="1"/>
  <c r="BW15" i="1"/>
  <c r="BW14" i="1"/>
  <c r="BZ13" i="1"/>
  <c r="BY13" i="1"/>
  <c r="BX13" i="1"/>
  <c r="AV52" i="1"/>
  <c r="AV30" i="1"/>
  <c r="DP45" i="1" l="1"/>
  <c r="DK52" i="1"/>
  <c r="DR82" i="1"/>
  <c r="CA59" i="1"/>
  <c r="CA54" i="1" s="1"/>
  <c r="BW83" i="1"/>
  <c r="DQ12" i="1"/>
  <c r="DP40" i="1"/>
  <c r="DQ89" i="1"/>
  <c r="DQ85" i="1" s="1"/>
  <c r="DS64" i="1"/>
  <c r="DR12" i="1"/>
  <c r="DQ54" i="1"/>
  <c r="DP82" i="1"/>
  <c r="DR89" i="1"/>
  <c r="DP69" i="1"/>
  <c r="DP64" i="1" s="1"/>
  <c r="DS89" i="1"/>
  <c r="DS85" i="1" s="1"/>
  <c r="DS54" i="1"/>
  <c r="DR69" i="1"/>
  <c r="DR64" i="1" s="1"/>
  <c r="DR85" i="1"/>
  <c r="DT64" i="1"/>
  <c r="DT40" i="1"/>
  <c r="DT13" i="1"/>
  <c r="DR54" i="1"/>
  <c r="DT92" i="1"/>
  <c r="DT89" i="1" s="1"/>
  <c r="DT85" i="1" s="1"/>
  <c r="DP89" i="1"/>
  <c r="DP85" i="1" s="1"/>
  <c r="DS12" i="1"/>
  <c r="DT45" i="1"/>
  <c r="DP54" i="1"/>
  <c r="DP13" i="1"/>
  <c r="DP12" i="1" s="1"/>
  <c r="DT61" i="1"/>
  <c r="DT54" i="1" s="1"/>
  <c r="DL65" i="1"/>
  <c r="DL64" i="1" s="1"/>
  <c r="DM12" i="1"/>
  <c r="DN64" i="1"/>
  <c r="DK40" i="1"/>
  <c r="DN89" i="1"/>
  <c r="DN85" i="1" s="1"/>
  <c r="DL54" i="1"/>
  <c r="DO55" i="1"/>
  <c r="DO54" i="1" s="1"/>
  <c r="DM54" i="1"/>
  <c r="DL89" i="1"/>
  <c r="DL85" i="1" s="1"/>
  <c r="DK89" i="1"/>
  <c r="DK85" i="1" s="1"/>
  <c r="DL12" i="1"/>
  <c r="DO40" i="1"/>
  <c r="DK45" i="1"/>
  <c r="DM69" i="1"/>
  <c r="DM64" i="1" s="1"/>
  <c r="DK69" i="1"/>
  <c r="DK64" i="1" s="1"/>
  <c r="DO92" i="1"/>
  <c r="DO89" i="1" s="1"/>
  <c r="DO85" i="1" s="1"/>
  <c r="DK13" i="1"/>
  <c r="DO45" i="1"/>
  <c r="DK82" i="1"/>
  <c r="DM89" i="1"/>
  <c r="DM85" i="1" s="1"/>
  <c r="DO64" i="1"/>
  <c r="DK54" i="1"/>
  <c r="DN13" i="1"/>
  <c r="DN12" i="1" s="1"/>
  <c r="DN61" i="1"/>
  <c r="DN54" i="1" s="1"/>
  <c r="DO13" i="1"/>
  <c r="DM82" i="1"/>
  <c r="BZ12" i="1"/>
  <c r="BY12" i="1"/>
  <c r="CA45" i="1"/>
  <c r="BX65" i="1"/>
  <c r="BX64" i="1" s="1"/>
  <c r="CA64" i="1"/>
  <c r="BX89" i="1"/>
  <c r="BX85" i="1" s="1"/>
  <c r="BX12" i="1"/>
  <c r="BY54" i="1"/>
  <c r="CA40" i="1"/>
  <c r="BX54" i="1"/>
  <c r="BZ89" i="1"/>
  <c r="BZ85" i="1" s="1"/>
  <c r="BY89" i="1"/>
  <c r="BY85" i="1" s="1"/>
  <c r="BW54" i="1"/>
  <c r="BW45" i="1"/>
  <c r="BY69" i="1"/>
  <c r="BY64" i="1" s="1"/>
  <c r="CA92" i="1"/>
  <c r="CA89" i="1" s="1"/>
  <c r="CA85" i="1" s="1"/>
  <c r="BW69" i="1"/>
  <c r="BW64" i="1" s="1"/>
  <c r="BW82" i="1"/>
  <c r="BW89" i="1"/>
  <c r="BW85" i="1" s="1"/>
  <c r="BW40" i="1"/>
  <c r="BZ54" i="1"/>
  <c r="BZ64" i="1"/>
  <c r="BW13" i="1"/>
  <c r="CA13" i="1"/>
  <c r="AV38" i="1"/>
  <c r="DQ11" i="1" l="1"/>
  <c r="DQ102" i="1" s="1"/>
  <c r="DT12" i="1"/>
  <c r="DT11" i="1" s="1"/>
  <c r="DT102" i="1" s="1"/>
  <c r="DS11" i="1"/>
  <c r="DS102" i="1" s="1"/>
  <c r="DR11" i="1"/>
  <c r="DR102" i="1" s="1"/>
  <c r="DP11" i="1"/>
  <c r="DP102" i="1" s="1"/>
  <c r="DP104" i="1" s="1"/>
  <c r="DK12" i="1"/>
  <c r="DK11" i="1" s="1"/>
  <c r="DK102" i="1" s="1"/>
  <c r="DK104" i="1" s="1"/>
  <c r="DL11" i="1"/>
  <c r="DL102" i="1" s="1"/>
  <c r="DM11" i="1"/>
  <c r="DM102" i="1" s="1"/>
  <c r="DO12" i="1"/>
  <c r="DO11" i="1" s="1"/>
  <c r="DO102" i="1" s="1"/>
  <c r="DN11" i="1"/>
  <c r="DN102" i="1" s="1"/>
  <c r="BZ11" i="1"/>
  <c r="BZ102" i="1" s="1"/>
  <c r="BX11" i="1"/>
  <c r="BX102" i="1" s="1"/>
  <c r="BY11" i="1"/>
  <c r="BY102" i="1" s="1"/>
  <c r="BW12" i="1"/>
  <c r="BW11" i="1" s="1"/>
  <c r="BW102" i="1" s="1"/>
  <c r="CA12" i="1"/>
  <c r="CA11" i="1" s="1"/>
  <c r="CA102" i="1" s="1"/>
  <c r="CB62" i="1"/>
  <c r="CB61" i="1" s="1"/>
  <c r="DI92" i="1"/>
  <c r="DI90" i="1"/>
  <c r="DI87" i="1"/>
  <c r="DI82" i="1"/>
  <c r="DI69" i="1"/>
  <c r="DI65" i="1"/>
  <c r="DI61" i="1"/>
  <c r="DI59" i="1"/>
  <c r="DI55" i="1"/>
  <c r="DI45" i="1"/>
  <c r="DI40" i="1"/>
  <c r="DI25" i="1"/>
  <c r="DI24" i="1"/>
  <c r="DI22" i="1"/>
  <c r="DI13" i="1" s="1"/>
  <c r="BN103" i="1"/>
  <c r="BM103" i="1"/>
  <c r="BV15" i="1"/>
  <c r="BU15" i="1"/>
  <c r="BT22" i="1"/>
  <c r="BS22" i="1"/>
  <c r="CL101" i="1"/>
  <c r="CG101" i="1"/>
  <c r="CP100" i="1"/>
  <c r="CK100" i="1"/>
  <c r="CP99" i="1"/>
  <c r="CK99" i="1"/>
  <c r="CP97" i="1"/>
  <c r="CK97" i="1"/>
  <c r="CP96" i="1"/>
  <c r="CK96" i="1"/>
  <c r="CP95" i="1"/>
  <c r="CK95" i="1"/>
  <c r="CP94" i="1"/>
  <c r="CK94" i="1"/>
  <c r="CO92" i="1"/>
  <c r="CN92" i="1"/>
  <c r="CM92" i="1"/>
  <c r="CL92" i="1"/>
  <c r="CJ92" i="1"/>
  <c r="CI92" i="1"/>
  <c r="CH92" i="1"/>
  <c r="CG92" i="1"/>
  <c r="CP90" i="1"/>
  <c r="CO90" i="1"/>
  <c r="CN90" i="1"/>
  <c r="CM90" i="1"/>
  <c r="CL90" i="1"/>
  <c r="CK90" i="1"/>
  <c r="CJ90" i="1"/>
  <c r="CI90" i="1"/>
  <c r="CH90" i="1"/>
  <c r="CG90" i="1"/>
  <c r="CP87" i="1"/>
  <c r="CO87" i="1"/>
  <c r="CN87" i="1"/>
  <c r="CM87" i="1"/>
  <c r="CL87" i="1"/>
  <c r="CK87" i="1"/>
  <c r="CJ87" i="1"/>
  <c r="CI87" i="1"/>
  <c r="CH87" i="1"/>
  <c r="CG87" i="1"/>
  <c r="CN86" i="1"/>
  <c r="CI86" i="1"/>
  <c r="CL84" i="1"/>
  <c r="CG84" i="1"/>
  <c r="CN83" i="1"/>
  <c r="CL83" i="1" s="1"/>
  <c r="CI83" i="1"/>
  <c r="CG83" i="1" s="1"/>
  <c r="CP82" i="1"/>
  <c r="CO82" i="1"/>
  <c r="CM82" i="1"/>
  <c r="CK82" i="1"/>
  <c r="CJ82" i="1"/>
  <c r="CH82" i="1"/>
  <c r="CL81" i="1"/>
  <c r="CG81" i="1"/>
  <c r="CL80" i="1"/>
  <c r="CG80" i="1"/>
  <c r="CL79" i="1"/>
  <c r="CG79" i="1"/>
  <c r="CN78" i="1"/>
  <c r="CL78" i="1"/>
  <c r="CI78" i="1"/>
  <c r="CG78" i="1"/>
  <c r="CL77" i="1"/>
  <c r="CG77" i="1"/>
  <c r="CL76" i="1"/>
  <c r="CG76" i="1"/>
  <c r="CL74" i="1"/>
  <c r="CG74" i="1"/>
  <c r="CN73" i="1"/>
  <c r="CI73" i="1"/>
  <c r="CN71" i="1"/>
  <c r="CI71" i="1"/>
  <c r="CN70" i="1"/>
  <c r="CI70" i="1"/>
  <c r="CP69" i="1"/>
  <c r="CO69" i="1"/>
  <c r="CM69" i="1"/>
  <c r="CK69" i="1"/>
  <c r="CJ69" i="1"/>
  <c r="CH69" i="1"/>
  <c r="CP65" i="1"/>
  <c r="CO65" i="1"/>
  <c r="CN65" i="1"/>
  <c r="CM65" i="1"/>
  <c r="CL65" i="1"/>
  <c r="CK65" i="1"/>
  <c r="CJ65" i="1"/>
  <c r="CI65" i="1"/>
  <c r="CH65" i="1"/>
  <c r="CG65" i="1"/>
  <c r="CP63" i="1"/>
  <c r="CP61" i="1" s="1"/>
  <c r="CK63" i="1"/>
  <c r="CK61" i="1" s="1"/>
  <c r="CL62" i="1"/>
  <c r="CL61" i="1" s="1"/>
  <c r="CG62" i="1"/>
  <c r="CG61" i="1" s="1"/>
  <c r="CO61" i="1"/>
  <c r="CN61" i="1"/>
  <c r="CM61" i="1"/>
  <c r="CJ61" i="1"/>
  <c r="CI61" i="1"/>
  <c r="CH61" i="1"/>
  <c r="CP60" i="1"/>
  <c r="CL60" i="1"/>
  <c r="CL59" i="1" s="1"/>
  <c r="CK60" i="1"/>
  <c r="CG60" i="1" s="1"/>
  <c r="CG59" i="1" s="1"/>
  <c r="CP59" i="1"/>
  <c r="CO59" i="1"/>
  <c r="CN59" i="1"/>
  <c r="CM59" i="1"/>
  <c r="CK59" i="1"/>
  <c r="CJ59" i="1"/>
  <c r="CI59" i="1"/>
  <c r="CH59" i="1"/>
  <c r="CP57" i="1"/>
  <c r="CP55" i="1" s="1"/>
  <c r="CK57" i="1"/>
  <c r="CK55" i="1" s="1"/>
  <c r="CL56" i="1"/>
  <c r="CL55" i="1" s="1"/>
  <c r="CG56" i="1"/>
  <c r="CG55" i="1" s="1"/>
  <c r="CO55" i="1"/>
  <c r="CN55" i="1"/>
  <c r="CM55" i="1"/>
  <c r="CJ55" i="1"/>
  <c r="CI55" i="1"/>
  <c r="CH55" i="1"/>
  <c r="CP53" i="1"/>
  <c r="CK53" i="1"/>
  <c r="CP52" i="1"/>
  <c r="CL52" i="1" s="1"/>
  <c r="CK52" i="1"/>
  <c r="CG52" i="1" s="1"/>
  <c r="CP51" i="1"/>
  <c r="CK51" i="1"/>
  <c r="CP50" i="1"/>
  <c r="CK50" i="1"/>
  <c r="CL49" i="1"/>
  <c r="CG49" i="1"/>
  <c r="CP48" i="1"/>
  <c r="CK48" i="1"/>
  <c r="CP47" i="1"/>
  <c r="CK47" i="1"/>
  <c r="CO45" i="1"/>
  <c r="CN45" i="1"/>
  <c r="CM45" i="1"/>
  <c r="CJ45" i="1"/>
  <c r="CI45" i="1"/>
  <c r="CH45" i="1"/>
  <c r="CP44" i="1"/>
  <c r="CK44" i="1"/>
  <c r="CP43" i="1"/>
  <c r="CK43" i="1"/>
  <c r="CL42" i="1"/>
  <c r="CG42" i="1"/>
  <c r="CL41" i="1"/>
  <c r="CG41" i="1"/>
  <c r="CO40" i="1"/>
  <c r="CN40" i="1"/>
  <c r="CM40" i="1"/>
  <c r="CJ40" i="1"/>
  <c r="CI40" i="1"/>
  <c r="CH40" i="1"/>
  <c r="CP39" i="1"/>
  <c r="CL39" i="1" s="1"/>
  <c r="CK39" i="1"/>
  <c r="CG39" i="1" s="1"/>
  <c r="CP38" i="1"/>
  <c r="CL38" i="1" s="1"/>
  <c r="CK38" i="1"/>
  <c r="CG38" i="1"/>
  <c r="CP37" i="1"/>
  <c r="CK37" i="1"/>
  <c r="CP35" i="1"/>
  <c r="CK35" i="1"/>
  <c r="CP31" i="1"/>
  <c r="CK31" i="1"/>
  <c r="CP30" i="1"/>
  <c r="CL30" i="1"/>
  <c r="CK30" i="1"/>
  <c r="CG30" i="1" s="1"/>
  <c r="CL29" i="1"/>
  <c r="CG29" i="1"/>
  <c r="CP28" i="1"/>
  <c r="CK28" i="1"/>
  <c r="CP27" i="1"/>
  <c r="CK27" i="1"/>
  <c r="CP26" i="1"/>
  <c r="CL26" i="1" s="1"/>
  <c r="CK26" i="1"/>
  <c r="CG26" i="1" s="1"/>
  <c r="CL25" i="1"/>
  <c r="CG25" i="1"/>
  <c r="CL24" i="1"/>
  <c r="CG24" i="1"/>
  <c r="CL23" i="1"/>
  <c r="CG23" i="1"/>
  <c r="CL22" i="1"/>
  <c r="CG22" i="1"/>
  <c r="CL21" i="1"/>
  <c r="CG21" i="1"/>
  <c r="CP20" i="1"/>
  <c r="CK20" i="1"/>
  <c r="CL19" i="1"/>
  <c r="CG19" i="1"/>
  <c r="CP18" i="1"/>
  <c r="CK18" i="1"/>
  <c r="CP17" i="1"/>
  <c r="CK17" i="1"/>
  <c r="CP16" i="1"/>
  <c r="CK16" i="1"/>
  <c r="CP15" i="1"/>
  <c r="CL15" i="1" s="1"/>
  <c r="CK15" i="1"/>
  <c r="CG15" i="1"/>
  <c r="CL14" i="1"/>
  <c r="CG14" i="1"/>
  <c r="CO13" i="1"/>
  <c r="CN13" i="1"/>
  <c r="CM13" i="1"/>
  <c r="CJ13" i="1"/>
  <c r="CI13" i="1"/>
  <c r="CH13" i="1"/>
  <c r="CB101" i="1"/>
  <c r="CF100" i="1"/>
  <c r="CF99" i="1"/>
  <c r="CF98" i="1"/>
  <c r="CF97" i="1"/>
  <c r="CF96" i="1"/>
  <c r="CF95" i="1"/>
  <c r="CF94" i="1"/>
  <c r="CE92" i="1"/>
  <c r="CD92" i="1"/>
  <c r="CC92" i="1"/>
  <c r="CB92" i="1"/>
  <c r="CF90" i="1"/>
  <c r="CE90" i="1"/>
  <c r="CD90" i="1"/>
  <c r="CC90" i="1"/>
  <c r="CB90" i="1"/>
  <c r="CF87" i="1"/>
  <c r="CE87" i="1"/>
  <c r="CD87" i="1"/>
  <c r="CC87" i="1"/>
  <c r="CB87" i="1"/>
  <c r="CD86" i="1"/>
  <c r="CB84" i="1"/>
  <c r="CD82" i="1"/>
  <c r="CB83" i="1"/>
  <c r="CF82" i="1"/>
  <c r="CE82" i="1"/>
  <c r="CC82" i="1"/>
  <c r="CB81" i="1"/>
  <c r="CB80" i="1"/>
  <c r="CB79" i="1"/>
  <c r="CD78" i="1"/>
  <c r="CB78" i="1"/>
  <c r="CB77" i="1"/>
  <c r="CB76" i="1"/>
  <c r="CB74" i="1"/>
  <c r="CD73" i="1"/>
  <c r="CD71" i="1"/>
  <c r="CD70" i="1"/>
  <c r="CF69" i="1"/>
  <c r="CE69" i="1"/>
  <c r="CC69" i="1"/>
  <c r="CF65" i="1"/>
  <c r="CE65" i="1"/>
  <c r="CD65" i="1"/>
  <c r="CC65" i="1"/>
  <c r="CB65" i="1"/>
  <c r="CF63" i="1"/>
  <c r="CF61" i="1" s="1"/>
  <c r="CE61" i="1"/>
  <c r="CD61" i="1"/>
  <c r="CC61" i="1"/>
  <c r="CF60" i="1"/>
  <c r="CB60" i="1"/>
  <c r="CB59" i="1" s="1"/>
  <c r="CF59" i="1"/>
  <c r="CE59" i="1"/>
  <c r="CD59" i="1"/>
  <c r="CC59" i="1"/>
  <c r="CF57" i="1"/>
  <c r="CF55" i="1" s="1"/>
  <c r="CB56" i="1"/>
  <c r="CB55" i="1" s="1"/>
  <c r="CE55" i="1"/>
  <c r="CD55" i="1"/>
  <c r="CC55" i="1"/>
  <c r="CF53" i="1"/>
  <c r="CF52" i="1"/>
  <c r="CB52" i="1" s="1"/>
  <c r="CF51" i="1"/>
  <c r="CF50" i="1"/>
  <c r="CB49" i="1"/>
  <c r="CF48" i="1"/>
  <c r="CF47" i="1"/>
  <c r="CE45" i="1"/>
  <c r="CD45" i="1"/>
  <c r="CC45" i="1"/>
  <c r="CF44" i="1"/>
  <c r="CF43" i="1"/>
  <c r="CB42" i="1"/>
  <c r="CB41" i="1"/>
  <c r="CE40" i="1"/>
  <c r="CD40" i="1"/>
  <c r="CC40" i="1"/>
  <c r="CF39" i="1"/>
  <c r="CB39" i="1"/>
  <c r="CB38" i="1"/>
  <c r="CF37" i="1"/>
  <c r="CF35" i="1"/>
  <c r="CF31" i="1"/>
  <c r="CF30" i="1"/>
  <c r="CB30" i="1"/>
  <c r="CB29" i="1"/>
  <c r="CF28" i="1"/>
  <c r="CF27" i="1"/>
  <c r="CF26" i="1"/>
  <c r="CB26" i="1" s="1"/>
  <c r="CB25" i="1"/>
  <c r="CB24" i="1"/>
  <c r="CB23" i="1"/>
  <c r="CB22" i="1"/>
  <c r="CB21" i="1"/>
  <c r="CF20" i="1"/>
  <c r="CB19" i="1"/>
  <c r="CF18" i="1"/>
  <c r="CF17" i="1"/>
  <c r="CF16" i="1"/>
  <c r="CB15" i="1"/>
  <c r="CB14" i="1"/>
  <c r="CE13" i="1"/>
  <c r="CD13" i="1"/>
  <c r="CC13" i="1"/>
  <c r="DA101" i="1"/>
  <c r="DE100" i="1"/>
  <c r="DE99" i="1"/>
  <c r="DE98" i="1"/>
  <c r="DE97" i="1"/>
  <c r="DE96" i="1"/>
  <c r="DE95" i="1"/>
  <c r="DE94" i="1"/>
  <c r="DD92" i="1"/>
  <c r="DC92" i="1"/>
  <c r="DB92" i="1"/>
  <c r="DA92" i="1"/>
  <c r="DE90" i="1"/>
  <c r="DD90" i="1"/>
  <c r="DC90" i="1"/>
  <c r="DB90" i="1"/>
  <c r="DA90" i="1"/>
  <c r="DE87" i="1"/>
  <c r="DD87" i="1"/>
  <c r="DC87" i="1"/>
  <c r="DB87" i="1"/>
  <c r="DA87" i="1"/>
  <c r="DC86" i="1"/>
  <c r="DA84" i="1"/>
  <c r="DC83" i="1"/>
  <c r="DA83" i="1"/>
  <c r="DE82" i="1"/>
  <c r="DD82" i="1"/>
  <c r="DC82" i="1"/>
  <c r="DB82" i="1"/>
  <c r="DA81" i="1"/>
  <c r="DA80" i="1"/>
  <c r="DC79" i="1"/>
  <c r="DA79" i="1" s="1"/>
  <c r="DC78" i="1"/>
  <c r="DA78" i="1" s="1"/>
  <c r="DA77" i="1"/>
  <c r="DA76" i="1"/>
  <c r="DA74" i="1"/>
  <c r="DC73" i="1"/>
  <c r="DC71" i="1"/>
  <c r="DC70" i="1"/>
  <c r="DE69" i="1"/>
  <c r="DD69" i="1"/>
  <c r="DB69" i="1"/>
  <c r="DE65" i="1"/>
  <c r="DD65" i="1"/>
  <c r="DC65" i="1"/>
  <c r="DB65" i="1"/>
  <c r="DA65" i="1"/>
  <c r="DE63" i="1"/>
  <c r="DE61" i="1" s="1"/>
  <c r="DE62" i="1"/>
  <c r="DA62" i="1" s="1"/>
  <c r="DA61" i="1" s="1"/>
  <c r="DD61" i="1"/>
  <c r="DC61" i="1"/>
  <c r="DB61" i="1"/>
  <c r="DE60" i="1"/>
  <c r="DA60" i="1" s="1"/>
  <c r="DA59" i="1" s="1"/>
  <c r="DD59" i="1"/>
  <c r="DC59" i="1"/>
  <c r="DB59" i="1"/>
  <c r="DE57" i="1"/>
  <c r="DE55" i="1" s="1"/>
  <c r="DA56" i="1"/>
  <c r="DD55" i="1"/>
  <c r="DC55" i="1"/>
  <c r="DB55" i="1"/>
  <c r="DA55" i="1"/>
  <c r="DE53" i="1"/>
  <c r="DE52" i="1"/>
  <c r="DA52" i="1" s="1"/>
  <c r="DE51" i="1"/>
  <c r="DE50" i="1"/>
  <c r="DE49" i="1"/>
  <c r="DA49" i="1" s="1"/>
  <c r="DE48" i="1"/>
  <c r="DE47" i="1"/>
  <c r="DE46" i="1"/>
  <c r="DD45" i="1"/>
  <c r="DC45" i="1"/>
  <c r="DB45" i="1"/>
  <c r="DE44" i="1"/>
  <c r="DE43" i="1"/>
  <c r="DA42" i="1"/>
  <c r="DA41" i="1"/>
  <c r="DD40" i="1"/>
  <c r="DC40" i="1"/>
  <c r="DB40" i="1"/>
  <c r="DE39" i="1"/>
  <c r="DA39" i="1" s="1"/>
  <c r="DE38" i="1"/>
  <c r="DA38" i="1" s="1"/>
  <c r="DE37" i="1"/>
  <c r="DE35" i="1"/>
  <c r="DE31" i="1"/>
  <c r="DE30" i="1"/>
  <c r="DA30" i="1"/>
  <c r="DE29" i="1"/>
  <c r="DA29" i="1" s="1"/>
  <c r="DE28" i="1"/>
  <c r="DE27" i="1"/>
  <c r="DE26" i="1"/>
  <c r="DA26" i="1"/>
  <c r="DA25" i="1"/>
  <c r="DE24" i="1"/>
  <c r="DA24" i="1" s="1"/>
  <c r="DA23" i="1"/>
  <c r="DE22" i="1"/>
  <c r="DA22" i="1"/>
  <c r="DA21" i="1"/>
  <c r="DE20" i="1"/>
  <c r="DA19" i="1"/>
  <c r="DE18" i="1"/>
  <c r="DE17" i="1"/>
  <c r="DE16" i="1"/>
  <c r="DE15" i="1"/>
  <c r="DA15" i="1"/>
  <c r="DE14" i="1"/>
  <c r="DA14" i="1" s="1"/>
  <c r="DD13" i="1"/>
  <c r="DC13" i="1"/>
  <c r="DB13" i="1"/>
  <c r="CZ100" i="1"/>
  <c r="CZ99" i="1"/>
  <c r="CZ98" i="1"/>
  <c r="CZ97" i="1"/>
  <c r="CZ96" i="1"/>
  <c r="CZ95" i="1"/>
  <c r="CY92" i="1"/>
  <c r="CX92" i="1"/>
  <c r="CW92" i="1"/>
  <c r="CV92" i="1"/>
  <c r="CZ90" i="1"/>
  <c r="CY90" i="1"/>
  <c r="CX90" i="1"/>
  <c r="CW90" i="1"/>
  <c r="CV90" i="1"/>
  <c r="CZ87" i="1"/>
  <c r="CY87" i="1"/>
  <c r="CX87" i="1"/>
  <c r="CW87" i="1"/>
  <c r="CV87" i="1"/>
  <c r="CX86" i="1"/>
  <c r="CV84" i="1"/>
  <c r="CX83" i="1"/>
  <c r="CV83" i="1"/>
  <c r="CZ82" i="1"/>
  <c r="CY82" i="1"/>
  <c r="CX82" i="1"/>
  <c r="CW82" i="1"/>
  <c r="CV81" i="1"/>
  <c r="CV80" i="1"/>
  <c r="CX79" i="1"/>
  <c r="CV79" i="1"/>
  <c r="CX78" i="1"/>
  <c r="CV78" i="1" s="1"/>
  <c r="CV77" i="1"/>
  <c r="CV76" i="1"/>
  <c r="CX75" i="1"/>
  <c r="CV74" i="1"/>
  <c r="CX73" i="1"/>
  <c r="CX72" i="1"/>
  <c r="CX71" i="1"/>
  <c r="CX70" i="1"/>
  <c r="CZ69" i="1"/>
  <c r="CY69" i="1"/>
  <c r="CW69" i="1"/>
  <c r="CW68" i="1"/>
  <c r="CW66" i="1"/>
  <c r="CZ65" i="1"/>
  <c r="CY65" i="1"/>
  <c r="CX65" i="1"/>
  <c r="CV65" i="1"/>
  <c r="CZ63" i="1"/>
  <c r="CZ62" i="1"/>
  <c r="CV62" i="1" s="1"/>
  <c r="CV61" i="1" s="1"/>
  <c r="CY61" i="1"/>
  <c r="CX61" i="1"/>
  <c r="CW61" i="1"/>
  <c r="CZ60" i="1"/>
  <c r="CV60" i="1" s="1"/>
  <c r="CV59" i="1" s="1"/>
  <c r="CY59" i="1"/>
  <c r="CX59" i="1"/>
  <c r="CW59" i="1"/>
  <c r="CZ57" i="1"/>
  <c r="CZ56" i="1"/>
  <c r="CV56" i="1" s="1"/>
  <c r="CV55" i="1" s="1"/>
  <c r="CY55" i="1"/>
  <c r="CX55" i="1"/>
  <c r="CW55" i="1"/>
  <c r="CZ53" i="1"/>
  <c r="CZ52" i="1"/>
  <c r="CV52" i="1" s="1"/>
  <c r="CZ51" i="1"/>
  <c r="CZ50" i="1"/>
  <c r="CZ49" i="1"/>
  <c r="CV49" i="1" s="1"/>
  <c r="CZ48" i="1"/>
  <c r="CZ47" i="1"/>
  <c r="CZ46" i="1"/>
  <c r="CY45" i="1"/>
  <c r="CX45" i="1"/>
  <c r="CW45" i="1"/>
  <c r="CZ44" i="1"/>
  <c r="CZ43" i="1"/>
  <c r="CV42" i="1"/>
  <c r="CV41" i="1"/>
  <c r="CY40" i="1"/>
  <c r="CX40" i="1"/>
  <c r="CW40" i="1"/>
  <c r="CZ39" i="1"/>
  <c r="CV39" i="1" s="1"/>
  <c r="CZ38" i="1"/>
  <c r="CV38" i="1" s="1"/>
  <c r="CY38" i="1"/>
  <c r="CZ37" i="1"/>
  <c r="CV36" i="1"/>
  <c r="CZ35" i="1"/>
  <c r="CZ34" i="1"/>
  <c r="CZ31" i="1"/>
  <c r="CV30" i="1"/>
  <c r="CZ29" i="1"/>
  <c r="CV29" i="1"/>
  <c r="CZ28" i="1"/>
  <c r="CZ27" i="1"/>
  <c r="CZ26" i="1"/>
  <c r="CV26" i="1"/>
  <c r="CV25" i="1"/>
  <c r="CZ24" i="1"/>
  <c r="CV24" i="1" s="1"/>
  <c r="CV23" i="1"/>
  <c r="CZ22" i="1"/>
  <c r="CV22" i="1" s="1"/>
  <c r="CV21" i="1"/>
  <c r="CZ20" i="1"/>
  <c r="CZ19" i="1"/>
  <c r="CV19" i="1" s="1"/>
  <c r="CZ18" i="1"/>
  <c r="CZ17" i="1"/>
  <c r="CZ16" i="1"/>
  <c r="CZ15" i="1"/>
  <c r="CV15" i="1" s="1"/>
  <c r="CZ14" i="1"/>
  <c r="CV14" i="1" s="1"/>
  <c r="CY13" i="1"/>
  <c r="CX13" i="1"/>
  <c r="CW13" i="1"/>
  <c r="BL49" i="1"/>
  <c r="BG49" i="1"/>
  <c r="BL52" i="1"/>
  <c r="BG52" i="1"/>
  <c r="BH101" i="1"/>
  <c r="BC101" i="1"/>
  <c r="AX101" i="1"/>
  <c r="BL62" i="1"/>
  <c r="BH62" i="1" s="1"/>
  <c r="BG62" i="1"/>
  <c r="BC62" i="1" s="1"/>
  <c r="BH78" i="1"/>
  <c r="BC78" i="1"/>
  <c r="AX78" i="1"/>
  <c r="AX41" i="1"/>
  <c r="DI12" i="1" l="1"/>
  <c r="DA45" i="1"/>
  <c r="CZ61" i="1"/>
  <c r="CI82" i="1"/>
  <c r="CN82" i="1"/>
  <c r="DB64" i="1"/>
  <c r="DC89" i="1"/>
  <c r="DC85" i="1" s="1"/>
  <c r="CD89" i="1"/>
  <c r="CJ89" i="1"/>
  <c r="CJ85" i="1" s="1"/>
  <c r="CE64" i="1"/>
  <c r="CC12" i="1"/>
  <c r="CJ12" i="1"/>
  <c r="CG40" i="1"/>
  <c r="CK40" i="1"/>
  <c r="CN89" i="1"/>
  <c r="CN85" i="1" s="1"/>
  <c r="CP92" i="1"/>
  <c r="CP89" i="1" s="1"/>
  <c r="CP85" i="1" s="1"/>
  <c r="CE54" i="1"/>
  <c r="CM12" i="1"/>
  <c r="CD54" i="1"/>
  <c r="CZ64" i="1"/>
  <c r="DA40" i="1"/>
  <c r="DB54" i="1"/>
  <c r="CN12" i="1"/>
  <c r="CI89" i="1"/>
  <c r="CI85" i="1" s="1"/>
  <c r="DA82" i="1"/>
  <c r="CO12" i="1"/>
  <c r="CN54" i="1"/>
  <c r="DC12" i="1"/>
  <c r="CF64" i="1"/>
  <c r="CI12" i="1"/>
  <c r="CH64" i="1"/>
  <c r="CM64" i="1"/>
  <c r="CM89" i="1"/>
  <c r="CM85" i="1" s="1"/>
  <c r="DD64" i="1"/>
  <c r="CH12" i="1"/>
  <c r="DI89" i="1"/>
  <c r="DI85" i="1" s="1"/>
  <c r="DC69" i="1"/>
  <c r="DC64" i="1" s="1"/>
  <c r="CY12" i="1"/>
  <c r="CZ40" i="1"/>
  <c r="CC64" i="1"/>
  <c r="CJ54" i="1"/>
  <c r="DB12" i="1"/>
  <c r="DD54" i="1"/>
  <c r="DE64" i="1"/>
  <c r="CB69" i="1"/>
  <c r="CB64" i="1" s="1"/>
  <c r="CF92" i="1"/>
  <c r="CF89" i="1" s="1"/>
  <c r="CF85" i="1" s="1"/>
  <c r="DE13" i="1"/>
  <c r="CB40" i="1"/>
  <c r="CF40" i="1"/>
  <c r="CO54" i="1"/>
  <c r="CN69" i="1"/>
  <c r="CN64" i="1" s="1"/>
  <c r="CL69" i="1"/>
  <c r="CL64" i="1" s="1"/>
  <c r="CG89" i="1"/>
  <c r="CG85" i="1" s="1"/>
  <c r="CV82" i="1"/>
  <c r="DA13" i="1"/>
  <c r="CY54" i="1"/>
  <c r="DC54" i="1"/>
  <c r="DB89" i="1"/>
  <c r="DB85" i="1" s="1"/>
  <c r="CG13" i="1"/>
  <c r="CP13" i="1"/>
  <c r="CO64" i="1"/>
  <c r="CL89" i="1"/>
  <c r="CL85" i="1" s="1"/>
  <c r="CV40" i="1"/>
  <c r="CY64" i="1"/>
  <c r="CX69" i="1"/>
  <c r="CX64" i="1" s="1"/>
  <c r="DD12" i="1"/>
  <c r="DD89" i="1"/>
  <c r="DD85" i="1" s="1"/>
  <c r="CD85" i="1"/>
  <c r="CC89" i="1"/>
  <c r="CC85" i="1" s="1"/>
  <c r="CL40" i="1"/>
  <c r="CL45" i="1"/>
  <c r="CH54" i="1"/>
  <c r="CP64" i="1"/>
  <c r="CI69" i="1"/>
  <c r="CI64" i="1" s="1"/>
  <c r="CG69" i="1"/>
  <c r="CG64" i="1" s="1"/>
  <c r="CG82" i="1"/>
  <c r="CW89" i="1"/>
  <c r="CW85" i="1" s="1"/>
  <c r="DA89" i="1"/>
  <c r="DA85" i="1" s="1"/>
  <c r="CF13" i="1"/>
  <c r="CF54" i="1"/>
  <c r="CE89" i="1"/>
  <c r="CE85" i="1" s="1"/>
  <c r="CP45" i="1"/>
  <c r="CH89" i="1"/>
  <c r="CH85" i="1" s="1"/>
  <c r="CK92" i="1"/>
  <c r="CK89" i="1" s="1"/>
  <c r="CK85" i="1" s="1"/>
  <c r="CX89" i="1"/>
  <c r="CX85" i="1" s="1"/>
  <c r="DE40" i="1"/>
  <c r="CD12" i="1"/>
  <c r="CB89" i="1"/>
  <c r="CB85" i="1" s="1"/>
  <c r="CO89" i="1"/>
  <c r="CO85" i="1" s="1"/>
  <c r="CW12" i="1"/>
  <c r="CZ45" i="1"/>
  <c r="CE12" i="1"/>
  <c r="CB45" i="1"/>
  <c r="CB82" i="1"/>
  <c r="CP54" i="1"/>
  <c r="CJ64" i="1"/>
  <c r="CL82" i="1"/>
  <c r="DI64" i="1"/>
  <c r="CX12" i="1"/>
  <c r="CW54" i="1"/>
  <c r="CW65" i="1"/>
  <c r="CW64" i="1" s="1"/>
  <c r="CY89" i="1"/>
  <c r="CY85" i="1" s="1"/>
  <c r="CZ92" i="1"/>
  <c r="CZ89" i="1" s="1"/>
  <c r="CZ85" i="1" s="1"/>
  <c r="DA69" i="1"/>
  <c r="DA64" i="1" s="1"/>
  <c r="CF45" i="1"/>
  <c r="CD69" i="1"/>
  <c r="CD64" i="1" s="1"/>
  <c r="CP40" i="1"/>
  <c r="CI54" i="1"/>
  <c r="CM54" i="1"/>
  <c r="CK64" i="1"/>
  <c r="DI54" i="1"/>
  <c r="CC54" i="1"/>
  <c r="CK45" i="1"/>
  <c r="CX54" i="1"/>
  <c r="CV89" i="1"/>
  <c r="CV85" i="1" s="1"/>
  <c r="DE45" i="1"/>
  <c r="DE92" i="1"/>
  <c r="DE89" i="1" s="1"/>
  <c r="DE85" i="1" s="1"/>
  <c r="CK13" i="1"/>
  <c r="CK54" i="1"/>
  <c r="CL54" i="1"/>
  <c r="CL13" i="1"/>
  <c r="CG45" i="1"/>
  <c r="CG54" i="1"/>
  <c r="CB13" i="1"/>
  <c r="CB54" i="1"/>
  <c r="DA54" i="1"/>
  <c r="DE59" i="1"/>
  <c r="DE54" i="1" s="1"/>
  <c r="CV13" i="1"/>
  <c r="CV45" i="1"/>
  <c r="CV69" i="1"/>
  <c r="CV64" i="1" s="1"/>
  <c r="CV54" i="1"/>
  <c r="CZ13" i="1"/>
  <c r="CZ55" i="1"/>
  <c r="CZ59" i="1"/>
  <c r="BH38" i="1"/>
  <c r="BC38" i="1"/>
  <c r="BH14" i="1"/>
  <c r="BC14" i="1"/>
  <c r="AX14" i="1"/>
  <c r="CK12" i="1" l="1"/>
  <c r="CK11" i="1" s="1"/>
  <c r="CK102" i="1" s="1"/>
  <c r="DA12" i="1"/>
  <c r="DA11" i="1" s="1"/>
  <c r="DA102" i="1" s="1"/>
  <c r="DA104" i="1" s="1"/>
  <c r="CG12" i="1"/>
  <c r="CG11" i="1" s="1"/>
  <c r="CG102" i="1" s="1"/>
  <c r="CG104" i="1" s="1"/>
  <c r="CM11" i="1"/>
  <c r="CM102" i="1" s="1"/>
  <c r="CJ11" i="1"/>
  <c r="CJ102" i="1" s="1"/>
  <c r="CW11" i="1"/>
  <c r="CW102" i="1" s="1"/>
  <c r="DB11" i="1"/>
  <c r="DB102" i="1" s="1"/>
  <c r="DC11" i="1"/>
  <c r="DC102" i="1" s="1"/>
  <c r="DI11" i="1"/>
  <c r="DI102" i="1" s="1"/>
  <c r="CP12" i="1"/>
  <c r="CP11" i="1" s="1"/>
  <c r="CP102" i="1" s="1"/>
  <c r="CN11" i="1"/>
  <c r="CN102" i="1" s="1"/>
  <c r="CV12" i="1"/>
  <c r="CV11" i="1" s="1"/>
  <c r="CV102" i="1" s="1"/>
  <c r="CZ12" i="1"/>
  <c r="CD11" i="1"/>
  <c r="CD102" i="1" s="1"/>
  <c r="CI11" i="1"/>
  <c r="CI102" i="1" s="1"/>
  <c r="DE12" i="1"/>
  <c r="DE11" i="1" s="1"/>
  <c r="DE102" i="1" s="1"/>
  <c r="CH11" i="1"/>
  <c r="CH102" i="1" s="1"/>
  <c r="CY11" i="1"/>
  <c r="CY102" i="1" s="1"/>
  <c r="CO11" i="1"/>
  <c r="CO102" i="1" s="1"/>
  <c r="CF12" i="1"/>
  <c r="CF11" i="1" s="1"/>
  <c r="CF102" i="1" s="1"/>
  <c r="CB12" i="1"/>
  <c r="CB11" i="1" s="1"/>
  <c r="CB102" i="1" s="1"/>
  <c r="CB104" i="1" s="1"/>
  <c r="CC11" i="1"/>
  <c r="CC102" i="1" s="1"/>
  <c r="CX11" i="1"/>
  <c r="CX102" i="1" s="1"/>
  <c r="DD11" i="1"/>
  <c r="DD102" i="1" s="1"/>
  <c r="CL12" i="1"/>
  <c r="CL11" i="1" s="1"/>
  <c r="CL102" i="1" s="1"/>
  <c r="CL104" i="1" s="1"/>
  <c r="BW104" i="1"/>
  <c r="CE11" i="1"/>
  <c r="CE102" i="1" s="1"/>
  <c r="CZ54" i="1"/>
  <c r="BH60" i="1"/>
  <c r="BC60" i="1"/>
  <c r="AX60" i="1"/>
  <c r="BH30" i="1"/>
  <c r="AX30" i="1"/>
  <c r="BH56" i="1"/>
  <c r="BC56" i="1"/>
  <c r="AX56" i="1"/>
  <c r="BH29" i="1"/>
  <c r="BC29" i="1"/>
  <c r="AX29" i="1"/>
  <c r="BH42" i="1"/>
  <c r="BC42" i="1"/>
  <c r="AX42" i="1"/>
  <c r="BH19" i="1"/>
  <c r="BC19" i="1"/>
  <c r="AX19" i="1"/>
  <c r="AW19" i="1"/>
  <c r="BH25" i="1"/>
  <c r="BC25" i="1"/>
  <c r="AX25" i="1"/>
  <c r="BH24" i="1"/>
  <c r="BC24" i="1"/>
  <c r="AX24" i="1"/>
  <c r="BH23" i="1"/>
  <c r="BH22" i="1"/>
  <c r="BC23" i="1"/>
  <c r="BC22" i="1"/>
  <c r="BH77" i="1"/>
  <c r="BC77" i="1"/>
  <c r="AX77" i="1"/>
  <c r="BH21" i="1"/>
  <c r="BC21" i="1"/>
  <c r="BH39" i="1"/>
  <c r="BC39" i="1"/>
  <c r="AX39" i="1"/>
  <c r="AW39" i="1"/>
  <c r="BH49" i="1"/>
  <c r="BC49" i="1"/>
  <c r="AX49" i="1"/>
  <c r="BH26" i="1"/>
  <c r="BC26" i="1"/>
  <c r="BH80" i="1"/>
  <c r="BC80" i="1"/>
  <c r="AX80" i="1"/>
  <c r="BC52" i="1"/>
  <c r="BH52" i="1"/>
  <c r="BH15" i="1"/>
  <c r="BC15" i="1"/>
  <c r="AX15" i="1"/>
  <c r="BJ79" i="1"/>
  <c r="BH79" i="1" s="1"/>
  <c r="BE79" i="1"/>
  <c r="BC79" i="1"/>
  <c r="AZ79" i="1"/>
  <c r="AX79" i="1"/>
  <c r="BH76" i="1"/>
  <c r="BC76" i="1"/>
  <c r="AX76" i="1"/>
  <c r="BH81" i="1"/>
  <c r="BC81" i="1"/>
  <c r="AX81" i="1"/>
  <c r="BH84" i="1"/>
  <c r="BH83" i="1"/>
  <c r="BC84" i="1"/>
  <c r="BC83" i="1"/>
  <c r="AX84" i="1"/>
  <c r="AX83" i="1"/>
  <c r="BH74" i="1"/>
  <c r="BC74" i="1"/>
  <c r="AX74" i="1"/>
  <c r="BV22" i="1"/>
  <c r="BU22" i="1"/>
  <c r="BM22" i="1" s="1"/>
  <c r="BV38" i="1"/>
  <c r="BU38" i="1"/>
  <c r="BV24" i="1"/>
  <c r="BU24" i="1"/>
  <c r="BR83" i="1"/>
  <c r="BQ83" i="1"/>
  <c r="BM83" i="1" s="1"/>
  <c r="BV49" i="1"/>
  <c r="BU49" i="1"/>
  <c r="BV23" i="1"/>
  <c r="BU23" i="1"/>
  <c r="BM23" i="1" s="1"/>
  <c r="BN22" i="1"/>
  <c r="BN83" i="1"/>
  <c r="BN84" i="1"/>
  <c r="BR84" i="1"/>
  <c r="BQ84" i="1"/>
  <c r="BM84" i="1" s="1"/>
  <c r="BN74" i="1"/>
  <c r="BM74" i="1"/>
  <c r="BR74" i="1"/>
  <c r="BQ74" i="1"/>
  <c r="BM49" i="1"/>
  <c r="BV30" i="1"/>
  <c r="BU30" i="1"/>
  <c r="BM81" i="1"/>
  <c r="BR81" i="1"/>
  <c r="BN81" i="1" s="1"/>
  <c r="BQ81" i="1"/>
  <c r="BV29" i="1"/>
  <c r="BU29" i="1"/>
  <c r="BM29" i="1" s="1"/>
  <c r="BP29" i="1"/>
  <c r="BO29" i="1"/>
  <c r="BV26" i="1"/>
  <c r="BU26" i="1"/>
  <c r="BM26" i="1" s="1"/>
  <c r="BR79" i="1"/>
  <c r="BN79" i="1" s="1"/>
  <c r="BQ79" i="1"/>
  <c r="BQ69" i="1" s="1"/>
  <c r="BN72" i="1"/>
  <c r="BM73" i="1"/>
  <c r="BR73" i="1"/>
  <c r="BN73" i="1" s="1"/>
  <c r="BQ73" i="1"/>
  <c r="BV43" i="1"/>
  <c r="BU43" i="1"/>
  <c r="BM43" i="1" s="1"/>
  <c r="BV46" i="1"/>
  <c r="BN46" i="1" s="1"/>
  <c r="BU46" i="1"/>
  <c r="BM46" i="1" s="1"/>
  <c r="BN43" i="1"/>
  <c r="BN49" i="1"/>
  <c r="BU36" i="1"/>
  <c r="BN41" i="1"/>
  <c r="BM41" i="1"/>
  <c r="BU61" i="1"/>
  <c r="BP75" i="1"/>
  <c r="BP69" i="1" s="1"/>
  <c r="BO75" i="1"/>
  <c r="BM75" i="1" s="1"/>
  <c r="BV61" i="1"/>
  <c r="BV16" i="1"/>
  <c r="BU16" i="1"/>
  <c r="BM16" i="1" s="1"/>
  <c r="BR16" i="1"/>
  <c r="BR13" i="1" s="1"/>
  <c r="BQ16" i="1"/>
  <c r="BS24" i="1"/>
  <c r="BT24" i="1"/>
  <c r="BT13" i="1" s="1"/>
  <c r="BV27" i="1"/>
  <c r="BU27" i="1"/>
  <c r="BM62" i="1"/>
  <c r="BM61" i="1" s="1"/>
  <c r="BV92" i="1"/>
  <c r="BU92" i="1"/>
  <c r="BT92" i="1"/>
  <c r="BS92" i="1"/>
  <c r="BR92" i="1"/>
  <c r="BQ92" i="1"/>
  <c r="BP92" i="1"/>
  <c r="BO92" i="1"/>
  <c r="BN92" i="1"/>
  <c r="BM92" i="1"/>
  <c r="BV90" i="1"/>
  <c r="BU90" i="1"/>
  <c r="BT90" i="1"/>
  <c r="BS90" i="1"/>
  <c r="BR90" i="1"/>
  <c r="BQ90" i="1"/>
  <c r="BP90" i="1"/>
  <c r="BO90" i="1"/>
  <c r="BN90" i="1"/>
  <c r="BM90" i="1"/>
  <c r="BV87" i="1"/>
  <c r="BU87" i="1"/>
  <c r="BT87" i="1"/>
  <c r="BS87" i="1"/>
  <c r="BR87" i="1"/>
  <c r="BQ87" i="1"/>
  <c r="BP87" i="1"/>
  <c r="BO87" i="1"/>
  <c r="BN87" i="1"/>
  <c r="BM87" i="1"/>
  <c r="BV82" i="1"/>
  <c r="BU82" i="1"/>
  <c r="BT82" i="1"/>
  <c r="BS82" i="1"/>
  <c r="BR82" i="1"/>
  <c r="BP82" i="1"/>
  <c r="BO82" i="1"/>
  <c r="BR78" i="1"/>
  <c r="BQ78" i="1"/>
  <c r="BN78" i="1"/>
  <c r="BM78" i="1"/>
  <c r="BR77" i="1"/>
  <c r="BQ77" i="1"/>
  <c r="BM77" i="1" s="1"/>
  <c r="BN77" i="1"/>
  <c r="BQ72" i="1"/>
  <c r="BM72" i="1" s="1"/>
  <c r="BR70" i="1"/>
  <c r="BN70" i="1"/>
  <c r="BV69" i="1"/>
  <c r="BU69" i="1"/>
  <c r="BT69" i="1"/>
  <c r="BS69" i="1"/>
  <c r="BO69" i="1"/>
  <c r="BV65" i="1"/>
  <c r="BU65" i="1"/>
  <c r="BT65" i="1"/>
  <c r="BS65" i="1"/>
  <c r="BR65" i="1"/>
  <c r="BQ65" i="1"/>
  <c r="BP65" i="1"/>
  <c r="BO65" i="1"/>
  <c r="BN65" i="1"/>
  <c r="BM65" i="1"/>
  <c r="BT61" i="1"/>
  <c r="BS61" i="1"/>
  <c r="BR61" i="1"/>
  <c r="BQ61" i="1"/>
  <c r="BP61" i="1"/>
  <c r="BO61" i="1"/>
  <c r="BN60" i="1"/>
  <c r="BV60" i="1" s="1"/>
  <c r="BV59" i="1" s="1"/>
  <c r="BM60" i="1"/>
  <c r="BU60" i="1" s="1"/>
  <c r="BU59" i="1" s="1"/>
  <c r="BT59" i="1"/>
  <c r="BS59" i="1"/>
  <c r="BR59" i="1"/>
  <c r="BQ59" i="1"/>
  <c r="BP59" i="1"/>
  <c r="BO59" i="1"/>
  <c r="BN58" i="1"/>
  <c r="BN55" i="1" s="1"/>
  <c r="BM58" i="1"/>
  <c r="BM55" i="1" s="1"/>
  <c r="BV55" i="1"/>
  <c r="BU55" i="1"/>
  <c r="BT55" i="1"/>
  <c r="BS55" i="1"/>
  <c r="BR55" i="1"/>
  <c r="BQ55" i="1"/>
  <c r="BP55" i="1"/>
  <c r="BO55" i="1"/>
  <c r="BV52" i="1"/>
  <c r="BU52" i="1"/>
  <c r="BN52" i="1"/>
  <c r="BM52" i="1"/>
  <c r="BV45" i="1"/>
  <c r="BT45" i="1"/>
  <c r="BS45" i="1"/>
  <c r="BR45" i="1"/>
  <c r="BQ45" i="1"/>
  <c r="BP45" i="1"/>
  <c r="BO45" i="1"/>
  <c r="BV40" i="1"/>
  <c r="BT40" i="1"/>
  <c r="BS40" i="1"/>
  <c r="BR40" i="1"/>
  <c r="BQ40" i="1"/>
  <c r="BP40" i="1"/>
  <c r="BO40" i="1"/>
  <c r="BV39" i="1"/>
  <c r="BU39" i="1"/>
  <c r="BM39" i="1" s="1"/>
  <c r="BN39" i="1"/>
  <c r="BM38" i="1"/>
  <c r="BN38" i="1"/>
  <c r="BN37" i="1"/>
  <c r="BM37" i="1"/>
  <c r="BN36" i="1"/>
  <c r="BM36" i="1"/>
  <c r="BN35" i="1"/>
  <c r="BM35" i="1"/>
  <c r="BN34" i="1"/>
  <c r="BM34" i="1"/>
  <c r="BN33" i="1"/>
  <c r="BM33" i="1"/>
  <c r="BN32" i="1"/>
  <c r="BM32" i="1"/>
  <c r="BN31" i="1"/>
  <c r="BM31" i="1"/>
  <c r="BN30" i="1"/>
  <c r="BM30" i="1"/>
  <c r="BN29" i="1"/>
  <c r="BN28" i="1"/>
  <c r="BM28" i="1"/>
  <c r="BN27" i="1"/>
  <c r="BM27" i="1"/>
  <c r="BN26" i="1"/>
  <c r="BV25" i="1"/>
  <c r="BU25" i="1"/>
  <c r="BT25" i="1"/>
  <c r="BN25" i="1" s="1"/>
  <c r="BS25" i="1"/>
  <c r="BM25" i="1" s="1"/>
  <c r="BM24" i="1"/>
  <c r="BN23" i="1"/>
  <c r="BN21" i="1"/>
  <c r="BM21" i="1"/>
  <c r="BN20" i="1"/>
  <c r="BM20" i="1"/>
  <c r="BN19" i="1"/>
  <c r="BM19" i="1"/>
  <c r="BN18" i="1"/>
  <c r="BM18" i="1"/>
  <c r="BN17" i="1"/>
  <c r="BM17" i="1"/>
  <c r="BN16" i="1"/>
  <c r="BM15" i="1"/>
  <c r="BN15" i="1"/>
  <c r="BV14" i="1"/>
  <c r="BU14" i="1"/>
  <c r="BN14" i="1"/>
  <c r="BV13" i="1"/>
  <c r="BQ13" i="1"/>
  <c r="BP13" i="1"/>
  <c r="BO13" i="1"/>
  <c r="AQ14" i="1"/>
  <c r="AI14" i="1" s="1"/>
  <c r="AR14" i="1"/>
  <c r="AI16" i="1"/>
  <c r="AJ16" i="1"/>
  <c r="AI17" i="1"/>
  <c r="AJ17" i="1"/>
  <c r="AI18" i="1"/>
  <c r="AJ18" i="1"/>
  <c r="AI19" i="1"/>
  <c r="AJ19" i="1"/>
  <c r="AI20" i="1"/>
  <c r="AJ20" i="1"/>
  <c r="AI21" i="1"/>
  <c r="AJ21" i="1"/>
  <c r="AI27" i="1"/>
  <c r="AJ27" i="1"/>
  <c r="AI28" i="1"/>
  <c r="AJ28" i="1"/>
  <c r="AI31" i="1"/>
  <c r="AJ31" i="1"/>
  <c r="AI32" i="1"/>
  <c r="AJ32" i="1"/>
  <c r="AI33" i="1"/>
  <c r="AJ33" i="1"/>
  <c r="AI34" i="1"/>
  <c r="AJ34" i="1"/>
  <c r="AI35" i="1"/>
  <c r="AJ35" i="1"/>
  <c r="AI36" i="1"/>
  <c r="AJ36" i="1"/>
  <c r="AI37" i="1"/>
  <c r="AJ37" i="1"/>
  <c r="AJ14" i="1"/>
  <c r="BU13" i="1" l="1"/>
  <c r="BN24" i="1"/>
  <c r="BN13" i="1" s="1"/>
  <c r="BM59" i="1"/>
  <c r="BQ82" i="1"/>
  <c r="BU40" i="1"/>
  <c r="BN75" i="1"/>
  <c r="BN69" i="1" s="1"/>
  <c r="BN64" i="1" s="1"/>
  <c r="BM79" i="1"/>
  <c r="BO64" i="1"/>
  <c r="BP64" i="1"/>
  <c r="DB104" i="1"/>
  <c r="CZ11" i="1"/>
  <c r="CZ102" i="1" s="1"/>
  <c r="BM82" i="1"/>
  <c r="BM45" i="1"/>
  <c r="BN82" i="1"/>
  <c r="BU45" i="1"/>
  <c r="BN40" i="1"/>
  <c r="BM40" i="1"/>
  <c r="BN89" i="1"/>
  <c r="BN85" i="1" s="1"/>
  <c r="BR89" i="1"/>
  <c r="BR85" i="1" s="1"/>
  <c r="BV89" i="1"/>
  <c r="BV85" i="1" s="1"/>
  <c r="BT89" i="1"/>
  <c r="BT85" i="1" s="1"/>
  <c r="BM69" i="1"/>
  <c r="BM64" i="1" s="1"/>
  <c r="BO12" i="1"/>
  <c r="BT12" i="1"/>
  <c r="BO54" i="1"/>
  <c r="BS64" i="1"/>
  <c r="BM89" i="1"/>
  <c r="BM85" i="1" s="1"/>
  <c r="BT64" i="1"/>
  <c r="BN62" i="1"/>
  <c r="BN61" i="1" s="1"/>
  <c r="BP12" i="1"/>
  <c r="BS54" i="1"/>
  <c r="BQ54" i="1"/>
  <c r="BQ12" i="1"/>
  <c r="BU12" i="1"/>
  <c r="BQ89" i="1"/>
  <c r="BQ85" i="1" s="1"/>
  <c r="BU89" i="1"/>
  <c r="BU85" i="1" s="1"/>
  <c r="BU64" i="1"/>
  <c r="BV12" i="1"/>
  <c r="BR12" i="1"/>
  <c r="BR54" i="1"/>
  <c r="BP89" i="1"/>
  <c r="BP85" i="1" s="1"/>
  <c r="BM54" i="1"/>
  <c r="BP54" i="1"/>
  <c r="BT54" i="1"/>
  <c r="BU54" i="1"/>
  <c r="BV64" i="1"/>
  <c r="BO89" i="1"/>
  <c r="BO85" i="1" s="1"/>
  <c r="BS89" i="1"/>
  <c r="BS85" i="1" s="1"/>
  <c r="BV54" i="1"/>
  <c r="BR69" i="1"/>
  <c r="BR64" i="1" s="1"/>
  <c r="BQ64" i="1"/>
  <c r="BN45" i="1"/>
  <c r="BS13" i="1"/>
  <c r="BS12" i="1" s="1"/>
  <c r="BM14" i="1"/>
  <c r="BM13" i="1" s="1"/>
  <c r="BN59" i="1"/>
  <c r="AK13" i="1"/>
  <c r="AQ22" i="1"/>
  <c r="AO22" i="1"/>
  <c r="AR26" i="1"/>
  <c r="AJ26" i="1" s="1"/>
  <c r="AQ26" i="1"/>
  <c r="AI26" i="1" s="1"/>
  <c r="AR25" i="1"/>
  <c r="AQ25" i="1"/>
  <c r="AP25" i="1"/>
  <c r="AO25" i="1"/>
  <c r="AI25" i="1" s="1"/>
  <c r="AR22" i="1"/>
  <c r="AP22" i="1"/>
  <c r="AR30" i="1"/>
  <c r="AJ30" i="1" s="1"/>
  <c r="AQ30" i="1"/>
  <c r="AI30" i="1" s="1"/>
  <c r="AR24" i="1"/>
  <c r="AQ24" i="1"/>
  <c r="AP24" i="1"/>
  <c r="AO24" i="1"/>
  <c r="AI24" i="1" s="1"/>
  <c r="AJ70" i="1"/>
  <c r="AN70" i="1"/>
  <c r="AM77" i="1"/>
  <c r="AJ72" i="1"/>
  <c r="AI72" i="1"/>
  <c r="AM72" i="1"/>
  <c r="AK104" i="1"/>
  <c r="AL104" i="1"/>
  <c r="AI92" i="1"/>
  <c r="AJ82" i="1"/>
  <c r="AK82" i="1"/>
  <c r="AL82" i="1"/>
  <c r="AM82" i="1"/>
  <c r="AN82" i="1"/>
  <c r="AO82" i="1"/>
  <c r="AP82" i="1"/>
  <c r="AQ82" i="1"/>
  <c r="AR82" i="1"/>
  <c r="AT82" i="1"/>
  <c r="AU82" i="1"/>
  <c r="AV82" i="1"/>
  <c r="AW82" i="1"/>
  <c r="AX82" i="1"/>
  <c r="AY82" i="1"/>
  <c r="AZ82" i="1"/>
  <c r="BA82" i="1"/>
  <c r="BB82" i="1"/>
  <c r="BC82" i="1"/>
  <c r="BD82" i="1"/>
  <c r="BE82" i="1"/>
  <c r="BF82" i="1"/>
  <c r="BG82" i="1"/>
  <c r="BH82" i="1"/>
  <c r="BI82" i="1"/>
  <c r="BJ82" i="1"/>
  <c r="BK82" i="1"/>
  <c r="BL82" i="1"/>
  <c r="AI82" i="1"/>
  <c r="AK69" i="1"/>
  <c r="AL69" i="1"/>
  <c r="AO69" i="1"/>
  <c r="AP69" i="1"/>
  <c r="AQ69" i="1"/>
  <c r="AR69" i="1"/>
  <c r="AT69" i="1"/>
  <c r="AV69" i="1"/>
  <c r="AW69" i="1"/>
  <c r="AX69" i="1"/>
  <c r="AY69" i="1"/>
  <c r="BA69" i="1"/>
  <c r="BB69" i="1"/>
  <c r="BC69" i="1"/>
  <c r="BD69" i="1"/>
  <c r="BF69" i="1"/>
  <c r="BG69" i="1"/>
  <c r="BH69" i="1"/>
  <c r="BI69" i="1"/>
  <c r="BK69" i="1"/>
  <c r="BL69" i="1"/>
  <c r="AI65" i="1"/>
  <c r="AK61" i="1"/>
  <c r="AL61" i="1"/>
  <c r="AM61" i="1"/>
  <c r="AN61" i="1"/>
  <c r="AO61" i="1"/>
  <c r="AP61" i="1"/>
  <c r="AT61" i="1"/>
  <c r="AU61" i="1"/>
  <c r="AV61" i="1"/>
  <c r="AX61" i="1"/>
  <c r="AY61" i="1"/>
  <c r="AZ61" i="1"/>
  <c r="BA61" i="1"/>
  <c r="BC61" i="1"/>
  <c r="BD61" i="1"/>
  <c r="BE61" i="1"/>
  <c r="BF61" i="1"/>
  <c r="BH61" i="1"/>
  <c r="BI61" i="1"/>
  <c r="BJ61" i="1"/>
  <c r="BK61" i="1"/>
  <c r="AK55" i="1"/>
  <c r="AL55" i="1"/>
  <c r="AM55" i="1"/>
  <c r="AN55" i="1"/>
  <c r="AO55" i="1"/>
  <c r="AP55" i="1"/>
  <c r="AQ55" i="1"/>
  <c r="AR55" i="1"/>
  <c r="AT55" i="1"/>
  <c r="AU55" i="1"/>
  <c r="AV55" i="1"/>
  <c r="AX55" i="1"/>
  <c r="AY55" i="1"/>
  <c r="AZ55" i="1"/>
  <c r="BA55" i="1"/>
  <c r="BC55" i="1"/>
  <c r="BD55" i="1"/>
  <c r="BE55" i="1"/>
  <c r="BF55" i="1"/>
  <c r="BH55" i="1"/>
  <c r="BI55" i="1"/>
  <c r="BJ55" i="1"/>
  <c r="BK55" i="1"/>
  <c r="AI40" i="1"/>
  <c r="AL13" i="1"/>
  <c r="AM13" i="1"/>
  <c r="AN13" i="1"/>
  <c r="AO13" i="1"/>
  <c r="AP13" i="1"/>
  <c r="AT13" i="1"/>
  <c r="AU13" i="1"/>
  <c r="AV13" i="1"/>
  <c r="AX13" i="1"/>
  <c r="AY13" i="1"/>
  <c r="AZ13" i="1"/>
  <c r="BA13" i="1"/>
  <c r="BC13" i="1"/>
  <c r="BD13" i="1"/>
  <c r="BE13" i="1"/>
  <c r="BF13" i="1"/>
  <c r="BH13" i="1"/>
  <c r="BI13" i="1"/>
  <c r="BJ13" i="1"/>
  <c r="BK13" i="1"/>
  <c r="AJ49" i="1"/>
  <c r="AI49" i="1"/>
  <c r="AJ62" i="1"/>
  <c r="AJ61" i="1" s="1"/>
  <c r="AI62" i="1"/>
  <c r="AI61" i="1" s="1"/>
  <c r="AR62" i="1"/>
  <c r="AR61" i="1" s="1"/>
  <c r="AQ62" i="1"/>
  <c r="AQ61" i="1" s="1"/>
  <c r="AJ40" i="1"/>
  <c r="AK40" i="1"/>
  <c r="AL40" i="1"/>
  <c r="AM40" i="1"/>
  <c r="AN40" i="1"/>
  <c r="AO40" i="1"/>
  <c r="AP40" i="1"/>
  <c r="AQ40" i="1"/>
  <c r="AR40" i="1"/>
  <c r="AT40" i="1"/>
  <c r="AU40" i="1"/>
  <c r="AV40" i="1"/>
  <c r="AX40" i="1"/>
  <c r="AY40" i="1"/>
  <c r="AZ40" i="1"/>
  <c r="BA40" i="1"/>
  <c r="BC40" i="1"/>
  <c r="BD40" i="1"/>
  <c r="BE40" i="1"/>
  <c r="BF40" i="1"/>
  <c r="BH40" i="1"/>
  <c r="BI40" i="1"/>
  <c r="BJ40" i="1"/>
  <c r="BK40" i="1"/>
  <c r="AR38" i="1"/>
  <c r="AJ38" i="1" s="1"/>
  <c r="AQ38" i="1"/>
  <c r="AI38" i="1" s="1"/>
  <c r="AJ58" i="1"/>
  <c r="AJ55" i="1" s="1"/>
  <c r="AI58" i="1"/>
  <c r="AI55" i="1" s="1"/>
  <c r="AN78" i="1"/>
  <c r="AM78" i="1"/>
  <c r="AJ78" i="1"/>
  <c r="AI78" i="1"/>
  <c r="AJ60" i="1"/>
  <c r="AR60" i="1" s="1"/>
  <c r="AI60" i="1"/>
  <c r="AQ60" i="1" s="1"/>
  <c r="AR49" i="1"/>
  <c r="AQ49" i="1"/>
  <c r="AR39" i="1"/>
  <c r="AJ39" i="1" s="1"/>
  <c r="AQ39" i="1"/>
  <c r="AI39" i="1" s="1"/>
  <c r="AI59" i="1" l="1"/>
  <c r="BQ11" i="1"/>
  <c r="BQ102" i="1" s="1"/>
  <c r="AJ24" i="1"/>
  <c r="AJ25" i="1"/>
  <c r="AJ22" i="1"/>
  <c r="AI22" i="1"/>
  <c r="BR11" i="1"/>
  <c r="BR102" i="1" s="1"/>
  <c r="BN12" i="1"/>
  <c r="BM12" i="1"/>
  <c r="BM11" i="1" s="1"/>
  <c r="BM102" i="1" s="1"/>
  <c r="BN54" i="1"/>
  <c r="BO11" i="1"/>
  <c r="BO102" i="1" s="1"/>
  <c r="BT11" i="1"/>
  <c r="BT102" i="1" s="1"/>
  <c r="BV11" i="1"/>
  <c r="BV102" i="1" s="1"/>
  <c r="BU11" i="1"/>
  <c r="BU102" i="1" s="1"/>
  <c r="BP11" i="1"/>
  <c r="BP102" i="1" s="1"/>
  <c r="AI54" i="1"/>
  <c r="BS11" i="1"/>
  <c r="BS102" i="1" s="1"/>
  <c r="AR15" i="1"/>
  <c r="AQ15" i="1"/>
  <c r="AR29" i="1"/>
  <c r="AJ29" i="1" s="1"/>
  <c r="AQ29" i="1"/>
  <c r="AI29" i="1" s="1"/>
  <c r="AI15" i="1" l="1"/>
  <c r="AJ15" i="1"/>
  <c r="BN11" i="1"/>
  <c r="BN102" i="1" s="1"/>
  <c r="AR23" i="1"/>
  <c r="AJ23" i="1" s="1"/>
  <c r="AQ23" i="1"/>
  <c r="AI23" i="1" s="1"/>
  <c r="AR52" i="1"/>
  <c r="AQ52" i="1"/>
  <c r="AJ52" i="1"/>
  <c r="AI52" i="1"/>
  <c r="AI45" i="1" s="1"/>
  <c r="AJ77" i="1"/>
  <c r="AJ69" i="1" s="1"/>
  <c r="AI77" i="1"/>
  <c r="AI69" i="1" s="1"/>
  <c r="AI64" i="1" s="1"/>
  <c r="AN77" i="1"/>
  <c r="AJ13" i="1" l="1"/>
  <c r="AI13" i="1"/>
  <c r="AI12" i="1" s="1"/>
  <c r="AR13" i="1"/>
  <c r="AQ13" i="1"/>
  <c r="BL18" i="1"/>
  <c r="BG18" i="1"/>
  <c r="CV104" i="1" l="1"/>
  <c r="BL27" i="1" l="1"/>
  <c r="BG27" i="1"/>
  <c r="BL28" i="1"/>
  <c r="BL31" i="1"/>
  <c r="BG31" i="1"/>
  <c r="BL35" i="1"/>
  <c r="BG35" i="1"/>
  <c r="BL37" i="1"/>
  <c r="BG37" i="1"/>
  <c r="BL46" i="1"/>
  <c r="BL43" i="1"/>
  <c r="BL55" i="1"/>
  <c r="BG55" i="1"/>
  <c r="AW55" i="1"/>
  <c r="BL63" i="1"/>
  <c r="BG63" i="1"/>
  <c r="BL99" i="1"/>
  <c r="BL97" i="1"/>
  <c r="BG97" i="1"/>
  <c r="BB97" i="1"/>
  <c r="BL96" i="1"/>
  <c r="BG96" i="1"/>
  <c r="BL95" i="1"/>
  <c r="BG95" i="1"/>
  <c r="BL94" i="1"/>
  <c r="BJ69" i="1" l="1"/>
  <c r="BG61" i="1"/>
  <c r="BL40" i="1"/>
  <c r="BE69" i="1"/>
  <c r="BL61" i="1"/>
  <c r="AU65" i="1"/>
  <c r="AV65" i="1"/>
  <c r="AW65" i="1"/>
  <c r="AX65" i="1"/>
  <c r="AX64" i="1" s="1"/>
  <c r="AY65" i="1"/>
  <c r="AZ65" i="1"/>
  <c r="BA65" i="1"/>
  <c r="BB65" i="1"/>
  <c r="BC65" i="1"/>
  <c r="BD65" i="1"/>
  <c r="BD64" i="1" s="1"/>
  <c r="BE65" i="1"/>
  <c r="BF65" i="1"/>
  <c r="BG65" i="1"/>
  <c r="BH65" i="1"/>
  <c r="BI65" i="1"/>
  <c r="BJ65" i="1"/>
  <c r="BK65" i="1"/>
  <c r="BL65" i="1"/>
  <c r="AT59" i="1"/>
  <c r="AU59" i="1"/>
  <c r="AV59" i="1"/>
  <c r="AX59" i="1"/>
  <c r="AY59" i="1"/>
  <c r="AZ59" i="1"/>
  <c r="BA59" i="1"/>
  <c r="BC59" i="1"/>
  <c r="BD59" i="1"/>
  <c r="BE59" i="1"/>
  <c r="BF59" i="1"/>
  <c r="BG59" i="1"/>
  <c r="BH59" i="1"/>
  <c r="BI59" i="1"/>
  <c r="BJ59" i="1"/>
  <c r="BK59" i="1"/>
  <c r="BL59" i="1"/>
  <c r="AT45" i="1"/>
  <c r="AU45" i="1"/>
  <c r="AV45" i="1"/>
  <c r="AY45" i="1"/>
  <c r="AZ45" i="1"/>
  <c r="BA45" i="1"/>
  <c r="BC45" i="1"/>
  <c r="BD45" i="1"/>
  <c r="BE45" i="1"/>
  <c r="BF45" i="1"/>
  <c r="BH45" i="1"/>
  <c r="BI45" i="1"/>
  <c r="BJ45" i="1"/>
  <c r="BK45" i="1"/>
  <c r="BA12" i="1"/>
  <c r="BI12" i="1"/>
  <c r="BK12" i="1"/>
  <c r="BK64" i="1" l="1"/>
  <c r="AY64" i="1"/>
  <c r="BL54" i="1"/>
  <c r="BH54" i="1"/>
  <c r="BD54" i="1"/>
  <c r="AY54" i="1"/>
  <c r="AU12" i="1"/>
  <c r="AZ12" i="1"/>
  <c r="BE12" i="1"/>
  <c r="BG54" i="1"/>
  <c r="AY12" i="1"/>
  <c r="BJ54" i="1"/>
  <c r="BF54" i="1"/>
  <c r="BA54" i="1"/>
  <c r="BA64" i="1"/>
  <c r="AW64" i="1"/>
  <c r="BK54" i="1"/>
  <c r="BC54" i="1"/>
  <c r="BI54" i="1"/>
  <c r="BE54" i="1"/>
  <c r="AV54" i="1"/>
  <c r="AV64" i="1"/>
  <c r="BD12" i="1"/>
  <c r="AT12" i="1"/>
  <c r="AX54" i="1"/>
  <c r="BB64" i="1"/>
  <c r="BF12" i="1"/>
  <c r="AV12" i="1"/>
  <c r="BL64" i="1"/>
  <c r="BJ12" i="1"/>
  <c r="AU54" i="1"/>
  <c r="AT54" i="1"/>
  <c r="BG64" i="1"/>
  <c r="BI64" i="1"/>
  <c r="BF64" i="1"/>
  <c r="AZ54" i="1"/>
  <c r="BN104" i="1" l="1"/>
  <c r="BM104" i="1"/>
  <c r="AJ46" i="1" l="1"/>
  <c r="AJ45" i="1" s="1"/>
  <c r="AK45" i="1"/>
  <c r="AL45" i="1"/>
  <c r="AM45" i="1"/>
  <c r="AN45" i="1"/>
  <c r="AO45" i="1"/>
  <c r="AP45" i="1"/>
  <c r="AQ45" i="1"/>
  <c r="AR45" i="1"/>
  <c r="AJ59" i="1"/>
  <c r="AK59" i="1"/>
  <c r="AL59" i="1"/>
  <c r="AM59" i="1"/>
  <c r="AN59" i="1"/>
  <c r="AO59" i="1"/>
  <c r="AP59" i="1"/>
  <c r="AQ59" i="1"/>
  <c r="AR59" i="1"/>
  <c r="AJ65" i="1"/>
  <c r="AK65" i="1"/>
  <c r="AL65" i="1"/>
  <c r="AM65" i="1"/>
  <c r="AN65" i="1"/>
  <c r="AO65" i="1"/>
  <c r="AP65" i="1"/>
  <c r="AQ65" i="1"/>
  <c r="AR65" i="1"/>
  <c r="AN75" i="1"/>
  <c r="AN69" i="1" s="1"/>
  <c r="AM75" i="1"/>
  <c r="AM69" i="1" s="1"/>
  <c r="AJ87" i="1"/>
  <c r="AK87" i="1"/>
  <c r="AL87" i="1"/>
  <c r="AM87" i="1"/>
  <c r="AN87" i="1"/>
  <c r="AO87" i="1"/>
  <c r="AP87" i="1"/>
  <c r="AQ87" i="1"/>
  <c r="AR87" i="1"/>
  <c r="AT87" i="1"/>
  <c r="AU87" i="1"/>
  <c r="AV87" i="1"/>
  <c r="AW87" i="1"/>
  <c r="AX87" i="1"/>
  <c r="AY87" i="1"/>
  <c r="AZ87" i="1"/>
  <c r="BA87" i="1"/>
  <c r="BB87" i="1"/>
  <c r="BC87" i="1"/>
  <c r="BD87" i="1"/>
  <c r="BE87" i="1"/>
  <c r="BF87" i="1"/>
  <c r="BG87" i="1"/>
  <c r="BH87" i="1"/>
  <c r="BI87" i="1"/>
  <c r="BJ87" i="1"/>
  <c r="BK87" i="1"/>
  <c r="BL87" i="1"/>
  <c r="AI87" i="1"/>
  <c r="AJ92" i="1"/>
  <c r="AK92" i="1"/>
  <c r="AL92" i="1"/>
  <c r="AM92" i="1"/>
  <c r="AN92" i="1"/>
  <c r="AO92" i="1"/>
  <c r="AP92" i="1"/>
  <c r="AQ92" i="1"/>
  <c r="AR92" i="1"/>
  <c r="AT92" i="1"/>
  <c r="AU92" i="1"/>
  <c r="AV92" i="1"/>
  <c r="AX92" i="1"/>
  <c r="AY92" i="1"/>
  <c r="AZ92" i="1"/>
  <c r="BA92" i="1"/>
  <c r="BC92" i="1"/>
  <c r="BD92" i="1"/>
  <c r="BE92" i="1"/>
  <c r="BF92" i="1"/>
  <c r="BH92" i="1"/>
  <c r="BI92" i="1"/>
  <c r="BJ92" i="1"/>
  <c r="BK92" i="1"/>
  <c r="AJ90" i="1"/>
  <c r="AK90" i="1"/>
  <c r="AL90" i="1"/>
  <c r="AM90" i="1"/>
  <c r="AN90" i="1"/>
  <c r="AO90" i="1"/>
  <c r="AP90" i="1"/>
  <c r="AQ90" i="1"/>
  <c r="AR90" i="1"/>
  <c r="AT90" i="1"/>
  <c r="AU90" i="1"/>
  <c r="AV90" i="1"/>
  <c r="AW90" i="1"/>
  <c r="AX90" i="1"/>
  <c r="AY90" i="1"/>
  <c r="AZ90" i="1"/>
  <c r="BA90" i="1"/>
  <c r="BB90" i="1"/>
  <c r="BC90" i="1"/>
  <c r="BD90" i="1"/>
  <c r="BE90" i="1"/>
  <c r="BF90" i="1"/>
  <c r="BG90" i="1"/>
  <c r="BH90" i="1"/>
  <c r="BI90" i="1"/>
  <c r="BJ90" i="1"/>
  <c r="BK90" i="1"/>
  <c r="BL90" i="1"/>
  <c r="AI90" i="1"/>
  <c r="AI89" i="1" s="1"/>
  <c r="AI85" i="1" l="1"/>
  <c r="AJ12" i="1"/>
  <c r="AU89" i="1"/>
  <c r="BA89" i="1"/>
  <c r="BA85" i="1" s="1"/>
  <c r="AN12" i="1"/>
  <c r="AP12" i="1"/>
  <c r="AL12" i="1"/>
  <c r="AK12" i="1"/>
  <c r="AM12" i="1"/>
  <c r="AO12" i="1"/>
  <c r="AY89" i="1"/>
  <c r="AY85" i="1" s="1"/>
  <c r="AZ89" i="1"/>
  <c r="AN89" i="1"/>
  <c r="AN85" i="1" s="1"/>
  <c r="AJ89" i="1"/>
  <c r="AJ85" i="1" s="1"/>
  <c r="AR12" i="1"/>
  <c r="AQ12" i="1"/>
  <c r="AR89" i="1"/>
  <c r="AR85" i="1" s="1"/>
  <c r="AM64" i="1"/>
  <c r="AN64" i="1"/>
  <c r="BC89" i="1"/>
  <c r="BC85" i="1" s="1"/>
  <c r="BE89" i="1"/>
  <c r="BE85" i="1" s="1"/>
  <c r="AQ64" i="1"/>
  <c r="AQ54" i="1"/>
  <c r="AM54" i="1"/>
  <c r="AR54" i="1"/>
  <c r="AN54" i="1"/>
  <c r="AJ54" i="1"/>
  <c r="AO54" i="1"/>
  <c r="AK54" i="1"/>
  <c r="AP54" i="1"/>
  <c r="AL54" i="1"/>
  <c r="AP64" i="1"/>
  <c r="AL64" i="1"/>
  <c r="AO64" i="1"/>
  <c r="AK64" i="1"/>
  <c r="AR64" i="1"/>
  <c r="AJ64" i="1"/>
  <c r="AV89" i="1"/>
  <c r="BK89" i="1"/>
  <c r="BK85" i="1" s="1"/>
  <c r="AQ89" i="1"/>
  <c r="AQ85" i="1" s="1"/>
  <c r="AM89" i="1"/>
  <c r="AM85" i="1" s="1"/>
  <c r="AX89" i="1"/>
  <c r="AX85" i="1" s="1"/>
  <c r="BI89" i="1"/>
  <c r="BI85" i="1" s="1"/>
  <c r="BD89" i="1"/>
  <c r="BD85" i="1" s="1"/>
  <c r="BF89" i="1"/>
  <c r="BF85" i="1" s="1"/>
  <c r="AO89" i="1"/>
  <c r="AO85" i="1" s="1"/>
  <c r="AK89" i="1"/>
  <c r="AK85" i="1" s="1"/>
  <c r="BJ89" i="1"/>
  <c r="BJ85" i="1" s="1"/>
  <c r="BH89" i="1"/>
  <c r="BH85" i="1" s="1"/>
  <c r="AT89" i="1"/>
  <c r="AT85" i="1" s="1"/>
  <c r="AP89" i="1"/>
  <c r="AP85" i="1" s="1"/>
  <c r="AL89" i="1"/>
  <c r="AL85" i="1" s="1"/>
  <c r="AI11" i="1" l="1"/>
  <c r="AI102" i="1" s="1"/>
  <c r="AI104" i="1" s="1"/>
  <c r="BK11" i="1"/>
  <c r="BK102" i="1" s="1"/>
  <c r="AQ11" i="1"/>
  <c r="AQ102" i="1" s="1"/>
  <c r="AL11" i="1"/>
  <c r="AL102" i="1" s="1"/>
  <c r="AR11" i="1"/>
  <c r="AR102" i="1" s="1"/>
  <c r="AO11" i="1"/>
  <c r="AO102" i="1" s="1"/>
  <c r="AO104" i="1" s="1"/>
  <c r="AP11" i="1"/>
  <c r="AP102" i="1" s="1"/>
  <c r="BD11" i="1"/>
  <c r="BD102" i="1" s="1"/>
  <c r="AY11" i="1"/>
  <c r="AY102" i="1" s="1"/>
  <c r="BI11" i="1"/>
  <c r="BI102" i="1" s="1"/>
  <c r="AM11" i="1"/>
  <c r="AM102" i="1" s="1"/>
  <c r="BA11" i="1"/>
  <c r="BA102" i="1" s="1"/>
  <c r="BF11" i="1"/>
  <c r="BF102" i="1" s="1"/>
  <c r="AK11" i="1"/>
  <c r="AK102" i="1" s="1"/>
  <c r="AN11" i="1"/>
  <c r="AN102" i="1" s="1"/>
  <c r="AJ11" i="1"/>
  <c r="AJ102" i="1" s="1"/>
  <c r="AJ104" i="1" s="1"/>
  <c r="AV85" i="1"/>
  <c r="AV11" i="1" l="1"/>
  <c r="AV102" i="1" s="1"/>
  <c r="AL103" i="1"/>
  <c r="AL105" i="1" s="1"/>
  <c r="AK103" i="1"/>
  <c r="AK105" i="1" s="1"/>
  <c r="BL17" i="1"/>
  <c r="BL13" i="1" l="1"/>
  <c r="BG28" i="1"/>
  <c r="BH64" i="1"/>
  <c r="BC64" i="1"/>
  <c r="BL50" i="1"/>
  <c r="BL45" i="1" s="1"/>
  <c r="BH12" i="1"/>
  <c r="BC12" i="1"/>
  <c r="BG92" i="1"/>
  <c r="BG89" i="1" s="1"/>
  <c r="BG85" i="1" s="1"/>
  <c r="BL100" i="1"/>
  <c r="BL92" i="1" s="1"/>
  <c r="BL89" i="1" s="1"/>
  <c r="BL85" i="1" s="1"/>
  <c r="BH11" i="1" l="1"/>
  <c r="BH102" i="1" s="1"/>
  <c r="BH104" i="1" s="1"/>
  <c r="BC11" i="1"/>
  <c r="BG13" i="1"/>
  <c r="BG45" i="1"/>
  <c r="BG40" i="1"/>
  <c r="BL12" i="1"/>
  <c r="BE64" i="1"/>
  <c r="BJ64" i="1"/>
  <c r="BB55" i="1"/>
  <c r="AX45" i="1"/>
  <c r="BB63" i="1"/>
  <c r="AX12" i="1"/>
  <c r="BC102" i="1" l="1"/>
  <c r="BC104" i="1" s="1"/>
  <c r="AX11" i="1"/>
  <c r="AX102" i="1" s="1"/>
  <c r="AX104" i="1" s="1"/>
  <c r="BJ11" i="1"/>
  <c r="BJ102" i="1" s="1"/>
  <c r="BE11" i="1"/>
  <c r="BE102" i="1" s="1"/>
  <c r="BL11" i="1"/>
  <c r="BL102" i="1" s="1"/>
  <c r="BG12" i="1"/>
  <c r="BB40" i="1"/>
  <c r="BB61" i="1"/>
  <c r="BB13" i="1"/>
  <c r="BG11" i="1" l="1"/>
  <c r="BG102" i="1" s="1"/>
  <c r="BB12" i="1"/>
  <c r="BB45" i="1" l="1"/>
  <c r="BB59" i="1"/>
  <c r="BB54" i="1" s="1"/>
  <c r="AZ85" i="1"/>
  <c r="AZ69" i="1" l="1"/>
  <c r="AZ64" i="1" s="1"/>
  <c r="AZ11" i="1" s="1"/>
  <c r="AZ102" i="1" s="1"/>
  <c r="AY104" i="1" s="1"/>
  <c r="BB92" i="1"/>
  <c r="BB89" i="1" s="1"/>
  <c r="BB85" i="1" s="1"/>
  <c r="AU69" i="1" l="1"/>
  <c r="AU64" i="1" s="1"/>
  <c r="BB11" i="1"/>
  <c r="BB102" i="1" s="1"/>
  <c r="AW40" i="1"/>
  <c r="AW92" i="1"/>
  <c r="AW89" i="1" s="1"/>
  <c r="AW85" i="1" s="1"/>
  <c r="AW61" i="1"/>
  <c r="AW59" i="1"/>
  <c r="AW54" i="1" l="1"/>
  <c r="AU85" i="1"/>
  <c r="AU11" i="1" s="1"/>
  <c r="AU102" i="1" s="1"/>
  <c r="AS102" i="1"/>
  <c r="AS104" i="1" s="1"/>
  <c r="AW50" i="1"/>
  <c r="AW45" i="1" s="1"/>
  <c r="AT66" i="1"/>
  <c r="AW17" i="1"/>
  <c r="AW13" i="1" s="1"/>
  <c r="AW12" i="1" s="1"/>
  <c r="AW11" i="1" s="1"/>
  <c r="AW102" i="1" s="1"/>
  <c r="AU86" i="1"/>
  <c r="AW18" i="1"/>
  <c r="AW53" i="1"/>
  <c r="AT68" i="1"/>
  <c r="AT65" i="1" s="1"/>
  <c r="AT64" i="1" s="1"/>
  <c r="AT11" i="1" s="1"/>
  <c r="AT102" i="1" s="1"/>
  <c r="AT107" i="1" s="1"/>
  <c r="AT109" i="1" s="1"/>
  <c r="AW51" i="1"/>
</calcChain>
</file>

<file path=xl/sharedStrings.xml><?xml version="1.0" encoding="utf-8"?>
<sst xmlns="http://schemas.openxmlformats.org/spreadsheetml/2006/main" count="3442" uniqueCount="696">
  <si>
    <t/>
  </si>
  <si>
    <t>Наименование полномочия, 
расходного обязательства</t>
  </si>
  <si>
    <t>Код			
стро-			
ки</t>
  </si>
  <si>
    <t>Правовое основание финансового обеспечения расходного полномочия муниципального образования</t>
  </si>
  <si>
    <t>Группа полномочий</t>
  </si>
  <si>
    <t>Код расхода											
по БК</t>
  </si>
  <si>
    <t>Объем средств на исполнение расходного обязательства</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</si>
  <si>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</si>
  <si>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</si>
  <si>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</si>
  <si>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</si>
  <si>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</si>
  <si>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</si>
  <si>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Плановый период</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</si>
  <si>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</si>
  <si>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</si>
  <si>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</si>
  <si>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</si>
  <si>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</si>
  <si>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</si>
  <si>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</si>
  <si>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</si>
  <si>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</si>
  <si>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</si>
  <si>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</si>
  <si>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</si>
  <si>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</si>
  <si>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Всего</t>
  </si>
  <si>
    <t>1-й год пп</t>
  </si>
  <si>
    <t>2-й год пп</t>
  </si>
  <si>
    <t>1-й год пп</t>
  </si>
  <si>
    <t>2-й год пп</t>
  </si>
  <si>
    <t>наименование,									
номер и дата</t>
  </si>
  <si>
    <t>номер						
статьи						
(подстатьи),						
пункта						
(подпункта)</t>
  </si>
  <si>
    <t>дата					
вступле-					
ния в си-					
лу, срок					
действия</t>
  </si>
  <si>
    <t>код НПА</t>
  </si>
  <si>
    <t>наименование,									
номер и дата</t>
  </si>
  <si>
    <t>РЗПРЗ</t>
  </si>
  <si>
    <t>утвержденные бюджетные назначения</t>
  </si>
  <si>
    <t>исполнено</t>
  </si>
  <si>
    <t>финансовый год</t>
  </si>
  <si>
    <t>за счет средств федерального бюджета</t>
  </si>
  <si>
    <t>за счет средств бюджета субъекта Российской Федерации</t>
  </si>
  <si>
    <t>за счет иных безвозмездных поступлений</t>
  </si>
  <si>
    <t>2020 г.</t>
  </si>
  <si>
    <t>2019 г.</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</si>
  <si>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</si>
  <si>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</si>
  <si>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</si>
  <si>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</si>
  <si>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</si>
  <si>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</si>
  <si>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</si>
  <si>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</si>
  <si>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</si>
  <si>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</si>
  <si>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</si>
  <si>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</si>
  <si>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</si>
  <si>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</si>
  <si>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</si>
  <si>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</si>
  <si>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</si>
  <si>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</si>
  <si>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</si>
  <si>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</si>
  <si>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</si>
  <si>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</si>
  <si>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</si>
  <si>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</si>
  <si>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</si>
  <si>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</si>
  <si>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</si>
  <si>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</si>
  <si>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</si>
  <si>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</si>
  <si>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</si>
  <si>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</si>
  <si>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</si>
  <si>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</si>
  <si>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</si>
  <si>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</si>
  <si>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</si>
  <si>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</si>
  <si>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</si>
  <si>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</si>
  <si>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</si>
  <si>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</si>
  <si>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</si>
  <si>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</si>
  <si>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</si>
  <si>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</si>
  <si>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</si>
  <si>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</si>
  <si>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</si>
  <si>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</si>
  <si>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</si>
  <si>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</si>
  <si>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</si>
  <si>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</si>
  <si>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</si>
  <si>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</si>
  <si>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</si>
  <si>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</si>
  <si>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</si>
  <si>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</si>
  <si>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</si>
  <si>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</si>
  <si>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</si>
  <si>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</si>
  <si>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</si>
  <si>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</si>
  <si>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</si>
  <si>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</si>
  <si>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</si>
  <si>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</si>
  <si>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</si>
  <si>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</si>
  <si>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</si>
  <si>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</si>
  <si>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</si>
  <si>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</si>
  <si>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</si>
  <si>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</si>
  <si>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</si>
  <si>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</si>
  <si>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</si>
  <si>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</si>
  <si>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</si>
  <si>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</si>
  <si>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</si>
  <si>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</si>
  <si>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</si>
  <si>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</si>
  <si>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</si>
  <si>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</si>
  <si>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</si>
  <si>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</si>
  <si>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</si>
  <si>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</si>
  <si>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</si>
  <si>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</si>
  <si>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</si>
  <si>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</si>
  <si>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</si>
  <si>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</si>
  <si>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</si>
  <si>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</si>
  <si>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</si>
  <si>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</si>
  <si>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</si>
  <si>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</si>
  <si>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</si>
  <si>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</si>
  <si>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</si>
  <si>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</si>
  <si>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</si>
  <si>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</si>
  <si>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</si>
  <si>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</si>
  <si>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</si>
  <si>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</si>
  <si>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</si>
  <si>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</si>
  <si>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</si>
  <si>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t>
  </si>
  <si>
    <t>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</si>
  <si>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</si>
  <si>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x</t>
  </si>
  <si>
    <t>1.1.</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</si>
  <si>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</si>
  <si>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</si>
  <si>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t>
  </si>
  <si>
    <t>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</si>
  <si>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</si>
  <si>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t>
  </si>
  <si>
    <t>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</si>
  <si>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</si>
  <si>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индексный,плановый</t>
  </si>
  <si>
    <t>1.1.1.3.</t>
  </si>
  <si>
    <t>владение, пользование и распоряжение имуществом, находящимся в муниципальной собственности муниципального района</t>
  </si>
  <si>
    <t>1005</t>
  </si>
  <si>
    <t>0113</t>
  </si>
  <si>
    <t>1.1.1.5.</t>
  </si>
  <si>
    <t>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</si>
  <si>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</si>
  <si>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0409</t>
  </si>
  <si>
    <t>1.1.1.7.</t>
  </si>
  <si>
    <t>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водного транспорта)</t>
  </si>
  <si>
    <t>1009</t>
  </si>
  <si>
    <t>индексный</t>
  </si>
  <si>
    <t>1.1.1.8.</t>
  </si>
  <si>
    <t>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</si>
  <si>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</si>
  <si>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0408</t>
  </si>
  <si>
    <t>1.1.1.13.</t>
  </si>
  <si>
    <t>участие в предупреждении и ликвидации последствий чрезвычайных ситуаций на территории муниципального района</t>
  </si>
  <si>
    <t>1015</t>
  </si>
  <si>
    <t>1.1.1.18.</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</si>
  <si>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</si>
  <si>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</si>
  <si>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0702</t>
  </si>
  <si>
    <t>1.1.1.20.</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</si>
  <si>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</si>
  <si>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</si>
  <si>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</si>
  <si>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0707</t>
  </si>
  <si>
    <t>1.1.1.23.</t>
  </si>
  <si>
    <t>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</si>
  <si>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</si>
  <si>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0113,1003</t>
  </si>
  <si>
    <t>1.1.1.24.</t>
  </si>
  <si>
    <t>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</si>
  <si>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</si>
  <si>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0605</t>
  </si>
  <si>
    <t>1.1.1.25.</t>
  </si>
  <si>
    <t>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</si>
  <si>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1027</t>
  </si>
  <si>
    <t>0412</t>
  </si>
  <si>
    <t>плановый</t>
  </si>
  <si>
    <t>0804</t>
  </si>
  <si>
    <t>1.1.1.39.</t>
  </si>
  <si>
    <t>создание условий для расширения рынка сельскохозяйственной продукции, сырья и продовольствия</t>
  </si>
  <si>
    <t>1041</t>
  </si>
  <si>
    <t>0405</t>
  </si>
  <si>
    <t>1.1.1.40.</t>
  </si>
  <si>
    <t>создание условий для развития сельскохозяйственного производства в поселениях в сфере животноводства без учета рыболовства и рыбоводства</t>
  </si>
  <si>
    <t>1042</t>
  </si>
  <si>
    <t>1.1.1.41.</t>
  </si>
  <si>
    <t>создание условий для развития сельскохозяйственного производства в поселениях в сфере растениеводства</t>
  </si>
  <si>
    <t>1043</t>
  </si>
  <si>
    <t>1.1.1.42.</t>
  </si>
  <si>
    <t>содействие развитию малого и среднего предпринимательства</t>
  </si>
  <si>
    <t>1044</t>
  </si>
  <si>
    <t>1.1.1.43.</t>
  </si>
  <si>
    <t>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</si>
  <si>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</si>
  <si>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1105</t>
  </si>
  <si>
    <t>1.1.1.45.</t>
  </si>
  <si>
    <t>организация проведения официальных физкультурно-оздоровительных и спортивных мероприятий муниципального района</t>
  </si>
  <si>
    <t>1047</t>
  </si>
  <si>
    <t>1.1.1.46.</t>
  </si>
  <si>
    <t>организация и осуществление мероприятий межпоселенческого характера по работе с детьми и молодежью</t>
  </si>
  <si>
    <t>1048</t>
  </si>
  <si>
    <t>0707,1003,1006</t>
  </si>
  <si>
    <t>1.1.2.</t>
  </si>
  <si>
    <t>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</si>
  <si>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</si>
  <si>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1.1.2.48.</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</si>
  <si>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</si>
  <si>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</si>
  <si>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0104,0106,0412</t>
  </si>
  <si>
    <t>1.1.2.49.</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</si>
  <si>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</si>
  <si>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1149</t>
  </si>
  <si>
    <t>1.2.</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</si>
  <si>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</si>
  <si>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</si>
  <si>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t>
  </si>
  <si>
    <t>1201</t>
  </si>
  <si>
    <t>0104,0106</t>
  </si>
  <si>
    <t>1.2.2.</t>
  </si>
  <si>
    <t>1202</t>
  </si>
  <si>
    <t>1.2.6.</t>
  </si>
  <si>
    <t>принятие устава муниципального образования и внесение в него изменений и дополнений, издание муниципальных правовых актов</t>
  </si>
  <si>
    <t>1206</t>
  </si>
  <si>
    <t>0102,0103</t>
  </si>
  <si>
    <t>1.2.8.</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</si>
  <si>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</si>
  <si>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</si>
  <si>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1.2.13.</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</si>
  <si>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</si>
  <si>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</si>
  <si>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0107</t>
  </si>
  <si>
    <t>1.2.17.</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</si>
  <si>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</si>
  <si>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</si>
  <si>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1.2.21.</t>
  </si>
  <si>
    <t>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</si>
  <si>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1221</t>
  </si>
  <si>
    <t>1.2.23.</t>
  </si>
  <si>
    <t>предоставление доплаты за выслугу лет к трудовой пенсии муниципальным служащим за счет средств местного бюджета</t>
  </si>
  <si>
    <t>1223</t>
  </si>
  <si>
    <t>1.3.</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</si>
  <si>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</si>
  <si>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1300</t>
  </si>
  <si>
    <t>1.3.1.</t>
  </si>
  <si>
    <t>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</si>
  <si>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1301</t>
  </si>
  <si>
    <t>1.3.1.2.</t>
  </si>
  <si>
    <t>участие в осуществлении деятельности по опеке и попечительству</t>
  </si>
  <si>
    <t>1303</t>
  </si>
  <si>
    <t>1004</t>
  </si>
  <si>
    <t>1.3.3.</t>
  </si>
  <si>
    <t>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</si>
  <si>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</si>
  <si>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1.3.3.7.</t>
  </si>
  <si>
    <t>адресная социальная помощь отдельным категориям граждан</t>
  </si>
  <si>
    <t>1508</t>
  </si>
  <si>
    <t>1003,1004</t>
  </si>
  <si>
    <t>1.3.4.</t>
  </si>
  <si>
    <t>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</si>
  <si>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</si>
  <si>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1.3.4.2.</t>
  </si>
  <si>
    <t>Федеральный закон от 24.07.2008 N 161-ФЗ "О содействии развитию жилищного строительства" стимулирование строительства индивидуальных жилых домов и прочее жилое строительство и выкуп, кроме обеспечения жильем нуждающихся в жилых помещениях малоимущих граждан жилыми помещениями)</t>
  </si>
  <si>
    <t>1602</t>
  </si>
  <si>
    <t>1.3.4.5.</t>
  </si>
  <si>
    <t>Полномочия, связанные с исполнением судебных актов – пункт 1 статьи 1 Федерального закона от 2 октября 2007 г. № 229-ФЗ 
«Об исполнительном производстве»</t>
  </si>
  <si>
    <t>1605</t>
  </si>
  <si>
    <t>1.4.</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</si>
  <si>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</si>
  <si>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</si>
  <si>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t>
  </si>
  <si>
    <t>за счет субвенций, предоставленных из федерального бюджета, всего</t>
  </si>
  <si>
    <t>1701</t>
  </si>
  <si>
    <t>1.4.1.2.</t>
  </si>
  <si>
    <t>по составлению (изменению) списков кандидатов в присяжные заседатели</t>
  </si>
  <si>
    <t>1703</t>
  </si>
  <si>
    <t>0105</t>
  </si>
  <si>
    <t>1.4.1.30.</t>
  </si>
  <si>
    <t>осуществление полномочий по проведению Всероссийской переписи населения 2020 года</t>
  </si>
  <si>
    <t>1731</t>
  </si>
  <si>
    <t>1.4.2.</t>
  </si>
  <si>
    <t>за счет субвенций, предоставленных из бюджета субъекта Российской Федерации, всего</t>
  </si>
  <si>
    <t>1800</t>
  </si>
  <si>
    <t>1.4.2.1.</t>
  </si>
  <si>
    <t>1801</t>
  </si>
  <si>
    <t>0113,0401,1004,1006</t>
  </si>
  <si>
    <t>1.4.2.2.</t>
  </si>
  <si>
    <t>1802</t>
  </si>
  <si>
    <t>1.4.2.5.</t>
  </si>
  <si>
    <t>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без учета рыбоводства и рыболовства)</t>
  </si>
  <si>
    <t>1805</t>
  </si>
  <si>
    <t>1.4.2.7.</t>
  </si>
  <si>
    <t>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</si>
  <si>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1807</t>
  </si>
  <si>
    <t>1.4.2.28.</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</si>
  <si>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</si>
  <si>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1828</t>
  </si>
  <si>
    <t>1.4.2.38.</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</si>
  <si>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</si>
  <si>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</si>
  <si>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1.6.</t>
  </si>
  <si>
    <t>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</si>
  <si>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</si>
  <si>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t>
  </si>
  <si>
    <t>по предоставлению дотаций на выравнивание бюджетной обеспеченности городских, сельских поселений, всего</t>
  </si>
  <si>
    <t>2101</t>
  </si>
  <si>
    <t>1401,1402</t>
  </si>
  <si>
    <t>нормативный</t>
  </si>
  <si>
    <t>1.6.3.</t>
  </si>
  <si>
    <t>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</si>
  <si>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</si>
  <si>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1.6.3.3.</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</si>
  <si>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</si>
  <si>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2108</t>
  </si>
  <si>
    <t>1.6.4.</t>
  </si>
  <si>
    <t>по предоставлению иных межбюджетных трансфертов, всего</t>
  </si>
  <si>
    <t>2200</t>
  </si>
  <si>
    <t>1.6.4.2.</t>
  </si>
  <si>
    <t>в иных случаях, не связанных с заключением соглашений, предусмотренных в подпункте 1.6.4.1, всего</t>
  </si>
  <si>
    <t>2300</t>
  </si>
  <si>
    <t>1.6.4.2.17.</t>
  </si>
  <si>
    <t>"""Иные межбюджетные трансферты (раздел """"Общегосударственные вопросы"""")"""</t>
  </si>
  <si>
    <t>2317</t>
  </si>
  <si>
    <t>1.6.4.2.18.</t>
  </si>
  <si>
    <t>"""Иные межбюджетные трансферты (раздел """"Национальная безопасность и правоохранительная деятельность"""")"""</t>
  </si>
  <si>
    <t>2318</t>
  </si>
  <si>
    <t>1.6.4.2.19.</t>
  </si>
  <si>
    <t>"""Иные межбюджетные трансферты (раздел """"Национальная экономика"""")"""</t>
  </si>
  <si>
    <t>2319</t>
  </si>
  <si>
    <t>0409,0412</t>
  </si>
  <si>
    <t>1.6.4.2.20.</t>
  </si>
  <si>
    <t>"""Иные межбюджетные трансферты (раздел """"Жилищно-коммунальное хозяйство"""")"""</t>
  </si>
  <si>
    <t>2320</t>
  </si>
  <si>
    <t>0501,0502</t>
  </si>
  <si>
    <t>1.6.4.2.21.</t>
  </si>
  <si>
    <t>"""Иные межбюджетные трансферты (раздел """"Образование"""")"""</t>
  </si>
  <si>
    <t>2321</t>
  </si>
  <si>
    <t>1.6.4.2.22.</t>
  </si>
  <si>
    <t>"""Иные межбюджетные трансферты (раздел """"Культура, кинематография"""")"""</t>
  </si>
  <si>
    <t>2322</t>
  </si>
  <si>
    <t>1.6.4.2.23.</t>
  </si>
  <si>
    <t>"""Иные межбюджетные трансферты (раздел """"Социальная политика"""")"""</t>
  </si>
  <si>
    <t>2323</t>
  </si>
  <si>
    <t>1.6.4.2.24.</t>
  </si>
  <si>
    <t>Иные межбюджетные трансферты (иные цели)</t>
  </si>
  <si>
    <t>2324</t>
  </si>
  <si>
    <t>1.7.</t>
  </si>
  <si>
    <t>Условно утвержденные расходы на первый и второй годы планового периода в соответствии с решением о местном бюджете муниципальног района</t>
  </si>
  <si>
    <t>2400</t>
  </si>
  <si>
    <t>Всего расходов</t>
  </si>
  <si>
    <t>НПА муниципального образования</t>
  </si>
  <si>
    <t xml:space="preserve">Федеральный закон от 06.10.2003 № 131-ФЗ "Об общих принципах организации местного самоуправления в Российской Федерации"
</t>
  </si>
  <si>
    <t>Закон РС (Я) от 15.06.2004г. З№276-III "О государственных наградах Республики Саха (Якутия)"</t>
  </si>
  <si>
    <t xml:space="preserve">Федеральный закон от 06.10.2003 № 131-ФЗ "Об общих принципах организации местного самоуправления в Российской Федерации"
</t>
  </si>
  <si>
    <t>Государственная программа Российской Федерации от 15.04.2014 № 327 "Об утверждении государственной программы Российской Федерации "Управление федеральным имуществом"</t>
  </si>
  <si>
    <t>в целом</t>
  </si>
  <si>
    <t>15.04.2014, не установлен</t>
  </si>
  <si>
    <t>Федеральный закон от 06.10.2003 № 131-ФЗ "Об общих принципах организации местного самоуправления в Российской Федерации"
Федеральный закон от 08.11.2007 г. № 257-ФЗ «Об автомобильных дорогах и дорожной деятельности в Российской Федерации и о внесении изменений в отдельные законодательные акты Российской Федерации»</t>
  </si>
  <si>
    <t>06.10.2003, не установлен
п.4 ст.17</t>
  </si>
  <si>
    <t>Закон Республики Саха (Якутия) от 15.12.2011 З N 908-IV "О дорожном фонде Республики Саха (Якутия)"</t>
  </si>
  <si>
    <t xml:space="preserve">Приказ Минтранса РФ от 27.08.2009 N 150 "О порядке проведения оценки технического состояния автомобильных дорог" </t>
  </si>
  <si>
    <t xml:space="preserve">Постановление Правительства Республики Саха (Якутия) от 25.12.2013 г. N 457 "Об утверждении Порядка формирования и использования бюджетных ассигнований Дорожного фонда Республики Саха (Якутия)",
Постановление Правительства РС (Я) от 11.03.2020г. №39 "О распределении субсидий местным бюджетам из Дорожного фонда в 2020 году"
 </t>
  </si>
  <si>
    <t>06.10.2003, не установлен</t>
  </si>
  <si>
    <t>Постановление  Правительства РФ от 06.02.2003 №72 "Об утверждении Правил оказания услуг по перевозке пассажиров, багажа, грузов для личных (бытовых) нужд на внутреннем водном транспорте" (с изменениями и дополнениями)</t>
  </si>
  <si>
    <t>12.10.2011, не установлен</t>
  </si>
  <si>
    <t>Федеральный закон от 06.10.2003 № 131-ФЗ "Об общих принципах организации местного самоуправления в Российской Федерации",
Федеральный закон №220-ФЗ от 13.07.2015 г."Об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t>
  </si>
  <si>
    <t xml:space="preserve">Закон Республики Саха (Якутия) от 03.07.2018 2041-З N 1641-V "О полномочиях органов государственной власти Республики Саха (Якутия) в сфере регулярных межмуниципальных перевозок пассажиров и багажа автомобильным транспортом в Республике Саха (Якутия)" </t>
  </si>
  <si>
    <t>Указ Главы РС (Я) 30 ноября 2019 года N 842  "О государственной программе Республики Саха (Якутия) "Развитие транспортного комплекса Республики Саха (Якутия) на 2020 - 2024 годы"</t>
  </si>
  <si>
    <t>Федеральный закон от 06.10.2003 № 131-ФЗ "Об общих принципах организации местного самоуправления в Российской Федерации" 
Федеральный закон от 21.12.1994 года № 69-ФЗ  "О пожарной безопасности"  
Федеральный закон от 21.12.1994 № 68-ФЗ "О защите населения и территорий от чрезвычайных ситуаций природного и техногенного характера"</t>
  </si>
  <si>
    <t>Указ Президента Российской Федерации от 28.12.2010 № 1632 «О совершенствовании системы обеспечения вызова экстренных оперативных служб на территории Российской Федерации»                                                                              Указ Президента Российской Федерации от 13.11.2012 № 1522 О создании комплексной системы экстренного оповещения населения об угрозе возникновения или о возникновении чрезвычайных ситуаций</t>
  </si>
  <si>
    <t>Постановление Правительства Российской Федерации от 30.12.03г. № 794 «О единой государственной системе предупреждения и ликвидации чрезвычайных ситуаций»</t>
  </si>
  <si>
    <t>Государственная программа Российской Федерации от 15.04.2014 № 300 "О государственной программе Российской Федерации "Защита населения и территорий от чрезвычайных ситуаций, обеспечение пожарной безопасности и безопасности людей на водных объектах"</t>
  </si>
  <si>
    <t>Закон субъекта Российской Федерации от 16.06.2005 № 252-З N 511-III "О защите населения и территорий республики от чрезвычайных ситуаций природного и техногенного характера"</t>
  </si>
  <si>
    <t>16.06.2005, не установлен</t>
  </si>
  <si>
    <t>Распоряжение Правительства Республики Саха (Якутия) от 28.12.2011 года №1427-р "О единой дежурно-диспетчерской службе в муниципальных образованиях Республики Саха (Якутия)"                                 
Указ Президента РС (Я) от 10.01.2011 № 462 "О казенных учреждениях Республики Саха (Якутия)"</t>
  </si>
  <si>
    <t>05.03.2011, не установлен</t>
  </si>
  <si>
    <t>Федеральный закон от 06.10.2003 № 131-ФЗ "Об общих принципах организации местного самоуправления в Российской Федерации",
Федеральный закон от 29.12.2012 № 273-ФЗ "Об образовании в Российской Федерации"</t>
  </si>
  <si>
    <t>в целом
в целом</t>
  </si>
  <si>
    <t>06.10.2003, не установлен
29.12.2012, не установлен</t>
  </si>
  <si>
    <t>Ппостановление Правительства Российской Федерации от 26.12.2017 г.  № 1642 "Об утверждении государственной программы Российской Федерации "Развитие образования" на период 2018-2025 годы"</t>
  </si>
  <si>
    <t>Закон Республики Саха (Якутия) от 12.12.2019г. 2199-З №309-VI "О государственном бюджете Республики Саха (Якутия) на 2020 год и плановый период 2021 и 2022 годов"</t>
  </si>
  <si>
    <t>Постановление Правительства РС(Я) от 24.10.2019 N 322 (ред. от 30.12.2020) "Об утверждении Инвестиционной программы Республики Саха (Якутия) на 2020 год и на плановый период 2021 и 2022 годов"</t>
  </si>
  <si>
    <t>Федеральный закон от 06.10.2003 № 131-ФЗ "Об общих принципах организации местного самоуправления в Российской Федерации"
Федеральный закон от 29.12.2012 № 273-ФЗ "Об образовании в Российской Федерации"</t>
  </si>
  <si>
    <t xml:space="preserve">
</t>
  </si>
  <si>
    <t xml:space="preserve">06.10.2003, не установлен
</t>
  </si>
  <si>
    <t>Федеральный закон от 06.10.2003 № 131-ФЗ "Об общих принципах организации местного самоуправления в Российской Федерации"</t>
  </si>
  <si>
    <t>Закон Республики Саха (Якутия) от 25.12.2003 104-З N 211-III (ред. от 25.04.2019) "Об охране окружающей среды Республики Саха (Якутия)"</t>
  </si>
  <si>
    <t>Федеральный закон от 06.10.2003 № 131-ФЗ "Об общих принципах организации местного самоуправления в Российской Федерации"
Федеральный закон от 29.12.2006 № 264-ФЗ "О развитии сельского хозяйства"</t>
  </si>
  <si>
    <t>06.10.2003, не установлен
29.12.2006, не установлен</t>
  </si>
  <si>
    <t>Закон субъекта Российской Федерации от 26.04.2016 № 1619-З N 791-V "О развитии сельского хозяйства в Республике Саха (Якутия)"</t>
  </si>
  <si>
    <t>01.01.2017, не установлен</t>
  </si>
  <si>
    <t xml:space="preserve">Федеральный закон от 06.10.2003 № 131-ФЗ "Об общих принципах организации местного самоуправления в Российской Федерации",
Федеральный закон 24.07.2007 г. № 209-ФЗ «О развитии малого и среднего предпринимательства в Российской Федерации»
</t>
  </si>
  <si>
    <t xml:space="preserve">в целом
</t>
  </si>
  <si>
    <t>Закон Республики Саха (Якутия) от 29.12.2008 645-З N 179-IV "О развитии малого и среднего предпринимательства в Республике Саха (Якутия)"</t>
  </si>
  <si>
    <t>01.01.2009, не установлен</t>
  </si>
  <si>
    <t>Постановление Правительства Республики Саха (Якутия) от 22.05.2020 № 131 "О распределении субсидий в 2020 году из государственного бюджета Республики Саха (Якутия) местным бюджетам на организацию и проведение конкурса на предоставление субсидий социально ориентированным некоммерческим организациям и территориальным общественным самоуправлениям в муниципальных образованиях Республики Саха (Якутия)",
Постановление Правительства РС (Я) от 25.08.2020г. №270 "О распределении субсидий из государственного бюджета РС (Я) местным бюджетам на организацию деятельности народных дружин в 2020 году"</t>
  </si>
  <si>
    <t>Федеральный закон от 06.10.2003 № 131-ФЗ "Об общих принципах организации местного самоуправления в Российской Федерации"                                                                                                                                   Федеральный закон от 04.12.2007 N 329-ФЗ "О физической культуре и спорте в Российской Федерации"</t>
  </si>
  <si>
    <t>Закон Республики Саха (Якутия) от 18.06.2009  696-З N 327-IV "О физической культуре и спорте в Республике Саха (Якутия)"</t>
  </si>
  <si>
    <t>Федеральный закон от 06.10.2003 № 131-ФЗ "Об общих принципах организации местного самоуправления в Российской Федерации"
Федеральный закон от 24.06.1999 № 120-ФЗ "Об основах системы профилактики безнадзорности и правонарушений несовершеннолетних"</t>
  </si>
  <si>
    <t>06.10.2003, не установлен
24.06.1999, не установлен</t>
  </si>
  <si>
    <t>Закон субъекта Российской Федерации от 03.12.1998 № З N 49-II "О государственной молодежной политике в Республике Саха (Якутия)"</t>
  </si>
  <si>
    <t>03.12.1998, не установлен</t>
  </si>
  <si>
    <t>Федеральный закон от 06.10.2003 № 131-ФЗ "Об общих принципах организации местного самоуправления в Российской Федерации",
Федеральный закон от 07.02.2011 года N 6-ФЗ «Об общих принципах организации и деятельности контрольно-счетных органов субъектов Российской Федерации и муниципальных образований»</t>
  </si>
  <si>
    <t>Закон Республики Саха (Якутия) от 30.11.2004 года 171-З N 349-III "О местном самоуправлении в Республике Саха (Якутия)"</t>
  </si>
  <si>
    <t xml:space="preserve">Федеральный закон от 06.10.2003 № 131-ФЗ "Об общих принципах организации местного самоуправления в Российской Федерации"
Федеральный закон от 08.05.2010 № 83-ФЗ "О внесении изменений в отдельные законодательные акты Российской Федерации в связи с совершенствованием правового положения государственных (муниципальных) учреждений"
Федеральный закон от 03.11.2009 № 174-ФЗ «Об автономных учреждениях»
</t>
  </si>
  <si>
    <t>06.10.2003, не установлен
08.05.2010, не установлен</t>
  </si>
  <si>
    <t xml:space="preserve">Иной НПА субъекта Российской Федерации от 10.01.2011 № 462"О казенных учреждениях Республики Саха (Якутия)"                                                                     </t>
  </si>
  <si>
    <t>10.01.2011, не установлен</t>
  </si>
  <si>
    <t xml:space="preserve">Федеральный закон от 06.10.2003 № 131-ФЗ "Об общих принципах организации местного самоуправления в Российской Федерации"
Федеральный закон от 12.06.2002 года N 67-ФЗ "Об основных гарантиях избирательных прав и права на участие в референдуме граждан Российской Федерации"
</t>
  </si>
  <si>
    <t>Закон Республики Саха (Якутия) от 11.10.2006 374-З N 761-III (ред. от 21.11.2019) "О территориальных избирательных комиссиях в Республике Саха (Якутия)" (принят постановлением ГС (Ил Тумэн) РС(Я) от 11.10.2006 З N 762-III)
Закон субъекта Российской Федерации от 11.07.2007 № 476-З N 967-III О выборах депутатов представительного органа муниципального района (городского округа)
Закон субъекта Российской Федерации от 11.07.2007 № 477-З N 969-III О муниципальных выборах в Республике Саха (Якутия)</t>
  </si>
  <si>
    <t>Федеральный закон от 06.10.2003 № 131-ФЗ "Об общих принципах организации местного самоуправления в Российской Федерации",
Закон РФ от 19.02.1993 №4520-1 "О государственных гарантиях и компенсациях для лиц, работающих и проживающих в районах Крайнего Севера и приравненных к ним местностях"</t>
  </si>
  <si>
    <t xml:space="preserve">Указ Главы Республики Саха (Якутия) от 13.12.2019г. №897 "О государственной программе Республики Саха (Якутия) "Обеспечение качественным жильем и повышение качества жилищно-коммунальных услуг на 2020-2024 годы"
</t>
  </si>
  <si>
    <t>Федеральный закон от 06.10.2003 № 131-ФЗ "Об общих принципах организации местного самоуправления в Российской Федерации",
Федеральный закон от 20.08.2004 N 113-ФЗ (ред. от 01.10.2019) "О присяжных заседателях федеральных судов общей юрисдикции в Российской Федерации"</t>
  </si>
  <si>
    <t xml:space="preserve">Закон РС (Я) от 01.12.2020 года 2265-З N 441-VI "О государственном бюджете Республики Саха (Якутия) на 2021 год и плановый период 2022 и 2023 годов"
</t>
  </si>
  <si>
    <t>Федеральный закон от 06.10.2003 № 131-ФЗ "Об общих принципах организации местного самоуправления в Российской Федерации",
Федеральный закон от 25.01.2002 N 8-ФЗ (ред. от 24.04.2020) "О Всероссийской переписи населения"</t>
  </si>
  <si>
    <t>Постановление Правительства РФ от 07.12.2019 N 1608 (ред. от 21.06.2021) "Об организации Всероссийской переписи населения 2020 года"</t>
  </si>
  <si>
    <t xml:space="preserve">Законом Республики Саха (Якутия) от 10 июля 2002 года 41-З № 417-II «О порядке наделения органов местного самоуправления в Республике Саха (Якутия) отдельными государственными полномочиями»,
Закон РС (Я) от 01.12.2020 года 2265-З N 441-VI "О государственном бюджете Республики Саха (Якутия) на 2021 год и плановый период 2022 и 2023 годов",
Закон РС (Я) от 27.05.2020 года 2241-З №393-VI "О наделении органов местного самоуправления муниципальных районов и городских округов РС (Я) отдельными государственными полномочиями Российской Федерации по подготовке и проведению Всероссийской переписи населения 2020 года, переданными для осуществления органам исполнительной власти РС (Я)"
</t>
  </si>
  <si>
    <t>Постановление Правительства РС(Я) от 24.12.2020 N 418 "Об утверждении Правил предоставления субвенций из федерального бюджета на осуществление отдельных государственных полномочий Российской Федерации по подготовке и проведению Всероссийской переписи населения 2020 года",
Приказ Министерства экономики РС (Я) от 21.01.2021г. №6-ОД "О передаче полномочий получателя средств гос.бюджета РС (Я) по перечислению в местные бюджеты субвенций на отдельные государственные полномочия по подготовке и проведению Всероссийской переписи населения 2020 года"</t>
  </si>
  <si>
    <t>Закон Республики Саха (Якутия) от 15.06.2005г. 246-З № 499-III "О наделении органов местного самоуправления муниципальных районов и городских округов Республики Саха (Якутия) отдельными государственными полномочиями по государственному регулированию цен (тарифов)",
Закон Республики Саха (Якутия) от 26.05.2010г. 837-З № 567-IV "О наделении органов местного самоуправления муниципальных районов и городских округов Республики Саха (Якутия) отдельными государственными полномочиями по созданию административных комиссий и определению перечня должностных лиц, уполномоченных составлять протоколы об административных правонарушениях, предусмотренных Кодексом Республики Саха (Якутия) об административных правонарушениях",
Закон Республики Саха (Якутия) от 31.01.2008г. 552-З №1119-III "Об организации и осуществлении деятельности по опеке и попечительству в Республике Саха (Якутия) и о наделении органов местного самоуправления муниципальных районов и городских округов отдельными государственными полномочиями по осуществлению деятельности по опеке и попечительству", 
Закон Республики Саха (Якутия) от 13.07.2006г. 369-З № 753-III "О размере и порядке выплаты денежных средств на детей-сирот и детей, оставшихся без попечения родителей и находящихся под опекой (попечительством) и в приемных семьях, и о наделении органов местного самоуправления отдельными государственными полномочиями по осуществлению выплаты денежных средств",
Закон Республики Саха (Якутия) от 26.12.2007г. 558-З №1091-III "О наделении органов местного самоуправления муниципальных районов Республики Саха (Якутия) отдельными государственными полномочиями по исполнению функций комиссии по делам несовершеннолетних и защите их прав"</t>
  </si>
  <si>
    <t>Постановление Правительства Республики Саха (Якутия) от 18.04.2008г. №163 "О порядке расходования и учета средств, предоставляемых в виде субвенций из государственного бюджета Республики Саха (Якутия) местным бюджетам на выполнение отдельных государственных полномочий по исполнению функций комиссий по делам несовершеннолетних и защите их прав"</t>
  </si>
  <si>
    <t>Федеральный закон от 06.10.2003 № 131-ФЗ "Об общих принципах организации местного самоуправления в Российской Федерации"
Федеральный закон от 29.12.2006 № 264-ФЗ «О развитии сельского хозяйства»</t>
  </si>
  <si>
    <t>Указ Главы РС(Я) от 10.12.2019 N 873 (ред. от 14.09.2020) "О государственной программе Республики Саха (Якутия) "Развитие сельского хозяйства и регулирование рынков сельскохозяйственной продукции, сырья и продовольствия на 2020 - 2024 годы"</t>
  </si>
  <si>
    <t>Федеральный закон от 06.10.2003 № 131-ФЗ "Об общих принципах организации местного самоуправления в Российской Федерации"
Федеральный закон РФ от 24.04.2008 года № 48-ФЗ "Об опеке и попечительстве"
Федеральный закон РФ от 21.12.1996 года №159-ФЗ "О дополнительных гарантиях по социальной поддержке детей-сирот и детей, оставшихся без попечения родителей"</t>
  </si>
  <si>
    <t xml:space="preserve">Постановление Правительства РФ от 04.04.2019 N 397 "О формировании списка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которые подлежат обеспечению жилыми помещениями, исключении детей-сирот и детей, оставшихся без попечения родителей, лиц из числа детей-сирот и детей, оставшихся без попечения родителей, из списка в субъекте Российской Федерации по прежнему месту жительства и включении их в список в субъекте Российской Федерации по новому месту жительства" </t>
  </si>
  <si>
    <t xml:space="preserve">Постановление Правительства Республики Саха (Якутия) от 24.03.2007 года № 102 "Об утверждении порядков расходования субвенций на финансирование образовательных учреждений для детей-сирот и детей, оставшихся без попечения родителей и субвенции на выплату денежных средств на детей, находящихся под опекой и попечительством, на санаторно-курортное лечение, летний труд и отдых";
 Постановление Правительства Республики Саха (Якутия) от 12.04.2007 года № 147 "Об утверждении порядка предоставления детям сиротам и детям, оставшимся без попечения родителей, воспитывающихся в муниципальных образовательных учреждениях, семейных детских домах, в семьях опекунов (попечителей), приемных родителей путевок в школьные и студенческие спортивно-оздоровительные лагеря (базы) труда и отдыха и на санаторно-курортное лечение",
Постановление Правительства Республики Саха (Якутия) от 12.04.2007 года № 147 "Об утверждении порядка предоставления детям сиротам и детям, оставшимся без попечения родителей, воспитывающихся в муниципальных образовательных учреждениях, семейных детских домах, в семьях опекунов (попечителей), приемных родителей путевок в школьные и студенческие спортивно-оздоровительные лагеря (базы) труда и отдыха и на санаторно-курортное лечение",
Постановление Правительства Республики Саха (Якутия) от 04.09.2007 года № 374 "Об утверждении Порядков расходования субвенций на бесплатный проезд детей-сирот и детей, оставшихся без попечения родителей, лиц из числа детей-сирот и детей, оставшихся без попечения родителей, обучающихся в муниципальных образовательных организациях, имеющих государственную аккредитацию по основным общеобразовательным программам, предоставления бесплатного проезда детям-сиротам и детям, оставшимся без попечения родителей, лицам из числа детей-сирот и детей, оставшихся без попечения родителей, обучающихся в государственных и муниципальных образовательных организациях, имеющих государственную аккредитацию по основным общеобразовательным программам, за счет средств государственного бюджета Республики Саха (Якутия)"
</t>
  </si>
  <si>
    <t xml:space="preserve">Федеральный закон от 06.10.2003 № 131-ФЗ "Об общих принципах организации местного самоуправления в Российской Федерации"   
Федеральный закон от 21.11.2011г. №323-ФЗ "Об основах охраны здоровья граждан в Российской Федерации"                                                         </t>
  </si>
  <si>
    <t>отчетный  2021 г.</t>
  </si>
  <si>
    <t>1.6.4.1.</t>
  </si>
  <si>
    <t>в бюджет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</si>
  <si>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1.6.4.1.11.</t>
  </si>
  <si>
    <t>0605,1105,1403</t>
  </si>
  <si>
    <t>0310</t>
  </si>
  <si>
    <t>0111,0113,0310,1003</t>
  </si>
  <si>
    <t>Текущий 2022 г.</t>
  </si>
  <si>
    <t>Очередной 2023 г.</t>
  </si>
  <si>
    <t xml:space="preserve">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Главы района от 29.12.2017 №1663 "Об утверждении Положения о представительских расходах Администрации МО "Мирнинский район" РС (Я)"; 
 Распоряжение Главы района "Об утверждении Положения о стипендиатах Администрации МО "Мирнинский район" РС (Я)";  
Постановление Главы района от 25.05.2015г. №0860 "Об утверждении Положения о порядке приобретения, учета и распоряжения подарочной и сувенирной продукцией, распоряжения подарками при проведении праздничных, спортивных и иных мероприятий МО "Мирнинский район";
Решение сессии Мирнинского районного Совета депутатов от  01.03.2007г. № 30-24 "О резервном фонде МО "Мирнинский район" РС (Я)",               
Постановление Главы района от 05.06.2020г. №0771 "Об утверждении Положения о порядке использования бюджетных ассигнований резервного фонда Администрации МО "Мирнинский район" РС (Я)",
Решение сессии Мирнинского районного Совета депутатов от 18.11.2015г. № III-№13-6  "Об утверждении Положения о наградах, званиях и поощрениях МО "Мирнинский район" РС (Я)",    
Распоряжение от 05.10.2011г. №838 "Об утверждении Положения о негосударственном пенсионном обеспечении работников муниципальных учреждений, финансируемых из бюджета МО "Мирнинский район" РС (Я),          
Постановление №1911 от 26.12.15 "Об утверждении Порядка предоставления субсидий на обеспечение (возмещение) части затрат организациям, оказывающим услуги по содержанию и ремонту мест общего пользования (общего имущества) многоквартирных домов" (с изм.и доп.),
Постановление Главы района от 31.08.2018г. №1188 "Об утверждении МП "Социальная поддержка населения" на 2019-2023 годы"
</t>
  </si>
  <si>
    <r>
      <t>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от 10.10.2018 № 1401 Об утверждении муниципальной программы "Управление муниципальной собственностью на 2019-2023 годы"</t>
    </r>
    <r>
      <rPr>
        <u/>
        <sz val="8"/>
        <rFont val="Times New Roman"/>
        <family val="1"/>
        <charset val="204"/>
      </rPr>
      <t>;</t>
    </r>
    <r>
      <rPr>
        <sz val="8"/>
        <rFont val="Times New Roman"/>
        <family val="1"/>
        <charset val="204"/>
      </rPr>
      <t xml:space="preserve">
Постановление от 15.02.2017 № 0213 Об утверждении Положения об осуществлении капитальных вложений в обьекты муниципальной собственности МО "Мирнинский район" РС(Я);
</t>
    </r>
  </si>
  <si>
    <t>Решение сессии Мирнинского районного Совета депутатов от 24.04.2013г. II-№29-9 "О создании Дорожного фонда муниципального образования "Мирнинский район" РС (Я)",
Решение сессии Мирнинского районного Совета депутатов от 25 апреля 2018г. III - №31-19 "Об утверждении Положения о муниципальном дорожном фонде МО "Мирнинский район" РС(Я) в новой редакции",
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от 29.10.2018 года №1530 «О нормативах денежных затрат на содержание и ремонт автомобильных дорог МО «Мирнинский район» Республики Саха (Якутия) и правилах расчета»,
Постановление от 27.07.2020 г. №1058 «Об утверждении правил организации и проведения работ по содержанию и ремонту автомобильных дорог МО «Мирнинский район» Республики Саха (Якутия)»,
Постановление от 19.04.2012 г. № 513 «Об утверждении перечня автомобильных дорог муниципального образования «Мирнинский район» РС (Я),
Постановление Главы района от 01.11.2018г. №1560 "Об утверждении МП "Осуществление дорожной деятельности в отношении автомобильных дорог местного значения в границах МО "Мирнинский район" РС (Я) на 2019-2023 годы"</t>
  </si>
  <si>
    <t xml:space="preserve">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t>
  </si>
  <si>
    <r>
      <t xml:space="preserve">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от 15.02.2018 № 0197 Об утверждении муниципальной программы "Создание условий для предоставления транспортных услуг населению и организация транспортного обслуживания между поселениями в границах МО "Мирнинский район" РС (Я),
Постановление №1254 от 02.09.2020 г. "Об установлении предельной стоимости перевозки пассажиров и багажа всеми видами общественного автомобильного транспорта (кроме такси) на территории Мирнинского района Республики Саха (Якутия)"
Постановление от 28.07.2016 № 896 "Об утверждении Документа планирования регулярных перевозок пассажиров и багажа автомобильным транспортом по муниципальным маршрутам регулярных перевозок между поселениями в границах МО "Мирнинский район" РС (Я)",
Постановление  № 1164 от 20.09.2017 г. "Об утверждении Положения об организации  регулярных перевозок пассажиров и багажа автомобильным транспортом по муниципальным маршрутам регулярных перевозок между поселениями в границах муниципального образования «Мирнинский район» Республики Саха (Якутия)";
Постановление № 1180 от 21.09.2017 г. </t>
    </r>
    <r>
      <rPr>
        <b/>
        <sz val="8"/>
        <rFont val="Times New Roman"/>
        <family val="1"/>
        <charset val="204"/>
      </rPr>
      <t>"</t>
    </r>
    <r>
      <rPr>
        <sz val="8"/>
        <rFont val="Times New Roman"/>
        <family val="1"/>
        <charset val="204"/>
      </rPr>
      <t xml:space="preserve">О  создании комиссии по проведению открытого конкурса на право осуществления перевозок по нерегулируемым тарифам по муниципальным маршрутам регулярных перевозок между поселениями в границах муниципального образования "Мирнинский район" Республики Саха (Якутия)";
Постановление  № 1454 от 21.11.2017 г. "Об утверждении маршрутов и вида регулярных перевозок пассажиров и багажа автомобильным транспортом между поселениями в границах муниципального образования «Мирнинский район» Республики Саха (Якутия)"
</t>
    </r>
  </si>
  <si>
    <t>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от 25.12.2012 года № 1839 "О создании муниципального казенного учреждения "Единая дежурно-диспетчерская служба" муниципального образования  "Мирнинский район" Республики Саха (Якутия)",  
Постановление от 24.10.2018 № 1481 Об утверждении муниципальной программы МО "Мирнинский район" Республики Саха (Якутия) "Предупреждение и ликвидация последствий чрезвычайных ситуаций на территории муниципального района" на 2019-2023 годы,                                                                                                            
Постановление Главы МО «Мирнинский район» от 23.12.16 г. № 1513 «Об утверждении Положения о звене территориальной подсистемы единой государственной системы предупреждения и ликвидации чрезвычайных ситуаций МО «Мирнинский район» Республики Саха (Якутия)»
Постановление от 01.03.2017 № 254 Об утверждении об оплате труда руководителей и специалистов муниципальных учреждений, финансируемых из бюджета МО "Мирнинский район"</t>
  </si>
  <si>
    <t xml:space="preserve">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от 01.11.2018 № 1559 Об утверждении муниципальной программы "Развитие системы общего образования на 2019-2023 годы"
</t>
  </si>
  <si>
    <t xml:space="preserve">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от 29.10.2018 № 1529 Об утверждении муниципальной программы "Доступное дополнительное образование на 2019-2023 годы"
</t>
  </si>
  <si>
    <t>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Главы района от 07.09.2018г. №1233 "Об утверждении МП "Создание условий для оказания медицинской помощи населению и охраны здоровья граждан на 2019-2023 годы"</t>
  </si>
  <si>
    <t>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Главы Мирнинского района от 01.11.2018г. №1557 "Об утверждении МП "Охрана окружающей среды, утилизация и переработка отходов производства и потребления на территории МО "Мирнинский район" Республики Саха (Якутия)" на период 2019-2023 годы</t>
  </si>
  <si>
    <t xml:space="preserve">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от 10.10.2018 № 1401 "Об утверждении МП "Управление муниципальной собственностью на 2019-2023 годы",
Постановление от 08.10.2018г. №1381 "Об утверждении муниципальной программы «Градостроительное планирование и  развитие территорий Мирнинского района» на 2019 – 2023 годы" 
</t>
  </si>
  <si>
    <t xml:space="preserve">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от 27.08.2018г. №1166 "Об утверждении МП "Создание условий для развития и поддержки сельскохозяйственного производства в поселениях, расширения рынка сельскохозяйственной продукции, сырья и продовольствия в мирнинском районе на 2019-2023 годы",
Постановление от 15.07.2020 №0976 "Об утверждении Порядка предоставления субсидий по муниципальной программе "Создание условий для развития и поддержки сельскохозяйственного производства в поселениях, расширения рынка сельскохозяйственной продукции, сырья и продовольствия в Мирнинском районе на 2019-2023 годы",
Постановление от 23.09.2020г. №1364 "Об утверждении положения о порядке присуждения ежегодных премий Главы МО "Мирнинский район" РС (Я) сельскохозяйственным организациям, жителям Мирнинского района, учавствовавшим в сельскохозяйственном производстве"                                                              </t>
  </si>
  <si>
    <t xml:space="preserve">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от 27.08.2018г. №1166 "Об утверждении МП "Создание условий для развития и поддержки сельскохозяйственного производства в поселениях, расширения рынка сельскохозяйственной продукции, сырья и продовольствия в мирнинском районе на 2019-2023 годы",
Постановление от 15.07.2020 №0976 "Об утверждении Порядка предоставления субсидий по муниципальной программе "Создание условий для развития и поддержки сельскохозяйственного производства в поселениях, расширения рынка сельскохозяйственной продукции, сырья и продовольствия в Мирнинском районе на 2019-2023 годы"                                                              </t>
  </si>
  <si>
    <t xml:space="preserve">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от 16.04.2018г. №0517 "Об утверждении МП "Создание экономической среды развития производственного потенциала, предпринимательства, занятости и туризма в Мирнинском районе РС (Я) на 2018-2022 годы"
Постановление от 08.11.2019г. № 1577 «Об утверждении порядка предоставления субсидии некоммерческим организациям, не являющимся муниципальными учреждениями, на организацию финансовой поддержки проектов на возвратной основе»                                           </t>
  </si>
  <si>
    <t xml:space="preserve">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от 31.08.2018г. №1189 "Об утверждении МП "Поддержка общественных и гражданских инициатив на 2019-2023 годы", 
Постановление от 31.08.2018 г. № 1188 "Об утверждении муниципальной программы МО «Мирнинский район» Республики Саха (Якутия) «Социальная поддержка населения » на 2019-2023 годы",
Постановление от 03.10.2018 № 1346 "Об утверждении муниципальной программы МО "Мирнинский район" РС (Я) "Молодежь Мирнинского района" на 2019-2023 годы"                                                                                          
                                                                                                                                                  </t>
  </si>
  <si>
    <t xml:space="preserve">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от 01.10.2018г. №1331 "Об утверждении МП "Развитие физической культуры и спорта в Мирнинском районе РС (Я) на 2019-2023 годы"                                                                                                                                           </t>
  </si>
  <si>
    <t xml:space="preserve">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от 03.10.2018 № 1346 "Об утверждении муниципальной программы МО "Мирнинский район" РС (Я) "Молодежь Мирнинского района" на 2019-2023 годы";
Соглашение  о взаимном сотрудничестве АК "АЛРОСА" (ЗАО) с МО "Мирнинский район" РС (Я) на 2011-2020 годы" от 23.02.2011г., 
Постановление от 31.08.2018 № 1190 "Об утверждении муниципальной программы "Мирнинский район, доброжелательный к детям на 2019-2023 годы",                                                                                                                         Постановление от 07.09.2018 № 1230 "Об утверждении муниципальной программы "Профилактика безнадзорности и правонарушений среди несовершеннолетних на 2019-2023 годы",                                              Постановление от 30.08.2018 № 1185 "Об утверждении муниципальной программы "Социальные меры реабилитации детей-сирот и детей, оставшихся без попечения родителей, в Мирнинском районе на 2019-2023 годы"                                                                                                                                                  </t>
  </si>
  <si>
    <t xml:space="preserve">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Методика расчета объема средств межбюджетных трансфертов, предоставляемых бюджету МО«Мирнинский район» Республики Саха (Якутия) из бюджетов МО поселений Мирнинского района для выполнения отдельных полномочий поселений Мирнинского района, утвержденна решением сессии Мирнинского районного Совета депутатов 27 сентября 2017г. III-№26-12, 
Методика расчета объема средств иных межбюджетных трансфертов, предоставляемых бюджету МО «Мирнинский район» РС(Я) из бюджетов МО поселений Мирнинского района, для выполнения отдельных полномочий поселений Мирнинского района по осуществлению соответствующих функций, утвержденна решением сессии МРСД 27 сентября 2017г. III-№26-12;  
Решение сессии Мирнинского районного Совета депутатов от 19.12.2018г. IV-№4-4-1 "О передаче отдельных бюджетных полномочий финансового органа Администрации МО «Город Мирный» Мирнинского района Республики Саха (Якутия) финансовому органу Администрации МО«Мирнинский район» Республики Саха (Якутия)",  
Решение сессии Мирнинского районного Совета депутатов от 19.12.2018г. IV-№4-4-2 "О передаче отдельных бюджетных полномочий финансового органа Администрации МО «Город Удачный» Мирнинского района Республики Саха (Якутия) финансовому органу Администрации МО «Мирнинский район» Республики Саха (Якутия)", 
Решение сессии Мирнинского районного Совета депутатов от 19.12.2018г. IV-№4-4-3 "О передаче отдельных бюджетных полномочий финансового органа Администрации МО «Поселок Айхал» Мирнинского района Республики Саха (Якутия) финансовому органу Администрации МО «Мирнинский район» Республики Саха (Якутия)"; 
Решение сессии Мирнинского районного Совета депутатов от 19.12.2018г. IV-№4-4-4 "О передаче отдельных бюджетных полномочий финансового органа Администрации МО «Поселок Чернышевский» Мирнинского района Республики Саха (Якутия) финансовому органу Администрации МО «Мирнинский район» Республики Саха (Якутия)", 
Решение сессии Мирнинского районного Совета депутатов от 19.12.2018г. IV-№4-4-5 "О передаче отдельных бюджетных полномочий финансового органа Администрации МО «Поселок Светлый» Мирнинского района Республики Саха (Якутия) финансовому органу Администрации МО«Мирнинский район» Республики Саха (Якутия)", 
Решение сессии Мирнинского районного Совета депутатов от 19.12.2018г. IV-№4-4-6 "О передаче отдельных бюджетных полномочий финансового органа Администрации МО «Поселок Алмазный» Мирнинского района Республики Саха (Якутия) финансовому органу Администрации МО«Мирнинский район» Республики Саха (Якутия)",
Решение сессии Мирнинского районного Совета депутатов от 19.12.2018г. IV-№4-4-7 "О передаче отдельных бюджетных полномочий финансового органа Администрации МО «Чуонинский наслег» Мирнинского района Республики Саха (Якутия) финансовому органу Администрации МО«Мирнинский район» Республики Саха (Якутия)", 
Решение сессии Мирнинского районного Совета депутатов от 19.12.2018г. IV-№4-4-8 "О передаче отдельных бюджетных полномочий финансового органа Администрации МО «Ботуобуйинский наслег» Мирнинского района Республики Саха (Якутия) финансовому органу Администрации МО «Мирнинский район» Республики Саха (Якутия)", 
Решение сессии Мирнинского районного Совета депутатов от 19.12.2018г. IV-№4-4-9 "О передаче отдельных бюджетных полномочий финансового органа Администрации МО «Садынский национальный эвенкийский наслег» Мирнинского района Республики Саха (Якутия) финансовому органу Администрации МО«Мирнинский район» Республики Саха (Якутия)",
Решение сессии Мирнинского районного Совета депутатов от 15.02.2017г. III - №22-17 "Об утверждении Положения  о Контрольно-счетной Палате муниципального образования «Мирнинский район» Республики Саха (Якутия) в новой редакции"
</t>
  </si>
  <si>
    <t xml:space="preserve">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Методика расчета объема средств межбюджетных трансфертов, предоставляемых бюджету МО «Мирнинский район» Республики Саха (Якутия) из бюджетов МО поселений Мирнинского района для выполнения отдельных полномочий поселений Мирнинского района, утвержденна решением сессии Мирнинского районного Совета депутатов 27 сентября 2017г. III-№26-12, 
Методика расчета объема средств иных межбюджетных трансфертов, предоставляемых бюджету МО «Мирнинский район» РС(Я) из бюджетов МО поселений Мирнинского района, для выполнения отдельных полномочий поселений Мирнинского района по осуществлению соответствующих функций, утвержденна решением сессии МРСД 27 сентября 2017г. III-№26-12;  
Положение «О денежном вознаграждении лиц, замещающих муниципальные должности, денежном содержании муниципальных служащих органов местного самоуправления МО «Мирнинский район» Республики Саха (Якутия)», утвержденное решением сессии МРСД от 23.04.2014г. III-№5-13,
Положение «О денежном содержании работников, замещающих должности, не отнесенные к должностям муниципальной службы органов местного самоуправления МО «Мирнинский район» Республики Саха (Якутия)», утвержденно решением сессии МРСД от 23.04.2014г. III-№5-13 ; 
Решение сессии Мирнинского районного Совета депутатов от 19.12.2018г. IV-№4-4-1 "О передаче отдельных бюджетных полномочий финансового органа Администрации муниципального образования «Город Мирный» Мирнинского района Республики Саха (Якутия) финансовому органу Администрации МО «Мирнинский район» Республики Саха (Якутия)",  
Решение сессии Мирнинского районного Совета депутатов от 19.12.2018г. IV-№4-4-2 "О передаче отдельных бюджетных полномочий финансового органа Администрации МО «Город Удачный» Мирнинского района Республики Саха (Якутия) финансовому органу Администрации МО «Мирнинский район» Республики Саха (Якутия)", 
Решение сессии Мирнинского районного Совета депутатов от 19.12.2018г. IV-№4-4-3 "О передаче отдельных бюджетных полномочий финансового органа Администрации МО «Поселок Айхал» Мирнинского района Республики Саха (Якутия) финансовому органу Администрации МО«Мирнинский район» Республики Саха (Якутия)"; 
Решение сессии Мирнинского районного Совета депутатов от 19.12.2018г. IV-№4-4-4 "О передаче отдельных бюджетных полномочий финансового органа Администрации МО «Поселок Чернышевский» Мирнинского района Республики Саха (Якутия) финансовому органу Администрации МО «Мирнинский район» Республики Саха (Якутия)", 
Решение сессии Мирнинского районного Совета депутатов от 19.12.2018г. IV-№4-4-5 "О передаче отдельных бюджетных полномочий финансового органа Администрации МО «Поселок Светлый» Мирнинского района Республики Саха (Якутия) финансовому органу Администрации МО «Мирнинский район» Республики Саха (Якутия)", 
Решение сессии Мирнинского районного Совета депутатов от 19.12.2018г. IV-№4-4-6 "О передаче отдельных бюджетных полномочий финансового органа Администрации МО «Поселок Алмазный» Мирнинского района Республики Саха (Якутия) финансовому органу Администрации МО «Мирнинский район» Республики Саха (Якутия)", 
Решение сессии Мирнинского районного Совета депутатов от 19.12.2018г. IV-№4-4-7 "О передаче отдельных бюджетных полномочий финансового органа Администрации МО «Чуонинский наслег» Мирнинского района Республики Саха (Якутия) финансовому органу Администрации МО «Мирнинский район» Республики Саха (Якутия)", 
Решение сессии Мирнинского районного Совета депутатов от 19.12.2018г. IV-№4-4-8 "О передаче отдельных бюджетных полномочий финансового органа Администрации МО «Ботуобуйинский наслег» Мирнинского района Республики Саха (Якутия) финансовому органу Администрации МО«Мирнинский район» Республики Саха (Якутия)", 
Решение сессии Мирнинского районного Совета депутатов от 19.12.2018г. IV-№4-4-9 "О передаче отдельных бюджетных полномочий финансового органа Администрации МО «Садынский национальный эвенкийский наслег» Мирнинского района Республики Саха (Якутия) финансовому органу Администрации МО «Мирнинский район» Республики Саха (Якутия)",
Решение сессии Мирнинского районного Совета депутатов от 15.02.2017г. III - №22-17 "Об утверждении Положения  о Контрольно-счетной Палате муниципального образования «Мирнинский район» Республики Саха (Якутия) в новой редакции"
</t>
  </si>
  <si>
    <t>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Решение сессии Мирнинского районного Совета депутатов от 25.10.07г. №37-19 "Устав муниципального образования «Мирнинский район»  Республики Саха (Якутия)",  
Решение сессии Мирнинского районного Совета депутатов от 02.03.2010г. II-№11-15 "Положение об Администрации МО «Мирнинский район» Республики Саха (Якутия) в новой редакции",   
Распоряжение Главы района от 27.06.2016г. №0527 "Об утверждении Положения о компенсации затрат лицам, замещающим муниципальные должности, муниципальным служащим и работникам, змещающим должности, не отнесенные к должностям муниципальной службы Администрации МО "Мирнинский район", по приобретению путевок санаторно-курортных и оздоровительных организаций";  
Распоряжение Главы района от 30.12.2013г. №1048 "О размерах возмещения расходов, связанных со служебными командировками лицам, замещающим муниципальные должности, муниципальным служащим, работникам, замещающим должности, не отнесенные к должностям муниципальной службы Администрации МО "Мирнинский район" РС (Я)",
Решение сессии Мирнинского районного Совета депутатов от 15.02.2017г. III - №22-17 "Об утверждении Положения  о Контрольно-счетной Палате муниципального образования «Мирнинский район» Республики Саха (Якутия) в новой редакции"</t>
  </si>
  <si>
    <t xml:space="preserve">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Решение сессии районного Совета депутатов от 15 марта 2017 г. III-№22-17 "Об утверждении Положения "О Контрольно-счетной Палате муниципального образования «Мирнинский район» Республики Саха (Якутия)",
  Решение сессии Мирнинского районного Совета депутатов от 16.11.2006 г. №28 -41-2 "Об утверждении Положения о денежном вознаграждении лиц, замещающих выборные муниципальные должности, денежном содержании муниципальных служащих и о дополнительных доплатах за особые условия муниципальной службы в Администрации МО «Мирнинский район» Республики Саха (Якутия)",      
Решение сессии Мирнинского районного Совета депутатов от 25.10.07г. №37-19 "Устав муниципального образования «Мирнинский район»  Республики Саха (Якутия)",  
Решение сессии Мирнинского районного Совета депутатов от 02.03.2010г. II-№11-15 "Положение об Администрации МО «Мирнинский район» Республики Саха (Якутия) в новой редакции", 
Решение сессии III- №5-13 от 23.04.2014 года  «Положение о денежном вознаграждении лиц, замещающих муниципальные должности, денежном содержании муниципальных органов местного самоуправления МО «Мирнинский район» РС (Я)";  
Решение сессии районного Совета депутатов от 23.04.2014г. III-№5-13 "Об утверждении Положения о денежном вознаграждении лиц, замещающих муниципальные должности, денежном содержании муниципальных служащих органов местного самоуправления МО «Мирнинский район» Республики Саха (Якутия)",
Решение сессии Мирнинского районного Совета депутатов от 15.02.2017г. III - №22-17 "Об утверждении Положения  о Контрольно-счетной Палате муниципального образования «Мирнинский район» Республики Саха (Якутия) в новой редакции"
</t>
  </si>
  <si>
    <t xml:space="preserve">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Решение сессии районного Совета депутатов от 15 марта 2017 г. III-№22-17 "Об утверждении Положения "О Контрольно-счетной Палате муниципального образования «Мирнинский район» Республики Саха (Якутия)",
Решение сессии районного Совета депутатов от 20.12.2007г. №39-23 "Об утверждении Положения о порядке предоставления депутатам Мирнинского районного Совета гарантии, компенсации и выплат, связанных с осуществлением ими депутатских полномочий" (с изм.),
Решение сессии Мирнинского районного Совета депутатов от 16.11.2006 г. №28 -41-2 "Об утверждении Положения о денежном вознаграждении лиц, замещающих выборные муниципальные должности, денежном содержании муниципальных служащих и о дополнительных доплатах за особые условия муниципальной службы в Администрации МО «Мирнинский район» Республики Саха (Якутия)",       
Решение сессии Мирнинского районного Совета депутатов от 25.10.07г. №37-19 "Устав муниципального образования «Мирнинский район»  Республики Саха (Якутия)",  
Решение сессии Мирнинского районного Совета депутатов от 02.03.2010г. II-№11-15 "Положение об Администрации МО «Мирнинский район» Республики Саха (Якутия) в новой редакции", 
Решение сессии III- №5-13 от 23.04.2014 года  «Положение о денежном вознаграждении лиц, замещающих муниципальные должности, денежном содержании муниципальных органов местного самоуправления МО «Мирнинский район» РС (Я)";  
решение сессии районного Совета депутатов от 23.04.2014г. III-№5-13 "Об утверждении Положения о денежном вознаграждении лиц, замещающих муниципальные должности, денежном содержании муниципальных служащих органов местного самоуправления МО «Мирнинский район» Республики Саха (Якутия)"
</t>
  </si>
  <si>
    <r>
      <t>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от 01.03.2017 № 254 "Об утверждении об оплате труда руководителей и специалистов муниципальных учреждений, финансируемых из бюджета МО "МР";
Постановление от 01.12.2015г. №1723 "Об утверждении общих требований к определению нормативных затрат на оказание муниципальных услуг, применяемых при расчете объема финансового обеспечения выполнения муниципального задания на оказание муниципальных услуг (выполнение работ) в отношении автономных и бюджетных учреждений МО "Мирнинский район" РС (Я);
Постановление от 12.01.2012 №0482 Об утверждении Положения об оплате труда работников МКУ "Управление сельского хозяйства" МО "Мирнинский район" РС (Я); Постановление от 20.05.2019 №0802 "Об утверждении Положения об условиях оплаты труда работников МКУ "Управление сельского хозяйства" МО "Мирнинский район" РС (Я)",
Распоряжение № 930 от 22.10.2009 г. "О создании Муниципальное автономное учреждение "Центр развития предпринимательства, занятости и туризма";
Устав МАУ «Центр развития предпринимательства, занятости и туризма» Муниципального образования «Мирнинский район» РС (Я);
Распоряжение от 14.11.2011г. №938 "О создании МКУ "Коммунально-строительное управление"</t>
    </r>
    <r>
      <rPr>
        <u/>
        <sz val="8"/>
        <rFont val="Times New Roman"/>
        <family val="1"/>
        <charset val="204"/>
      </rPr>
      <t xml:space="preserve">
</t>
    </r>
    <r>
      <rPr>
        <sz val="8"/>
        <rFont val="Times New Roman"/>
        <family val="1"/>
        <charset val="204"/>
      </rPr>
      <t>Распоряжение от 04.06.2012г. №429 "Об утверждении Устава МКУ "Коммунально-строительное управление"
Постановление от 29.10.2014г. «О создании муниципального учреждения «Управление по эксплуатации и содержанию административных зданий «Вилюй» МО «Мирнинский район» Республики Саха (Якутия)»,
Постановление от 30.04.2020г. №0571 «О внесении изменений в Устав муниципального бюджетного учреждения «Управление по эксплуатации и содержанию административных зданий «Вилюй» муниципального образования «Мирнинский район» Республики Саха (Якутия), 
Постановление от 22.08.2017 г. №1061 "Об утверждении Устава МКУ "Комитет имущестувенных отношений" Мирнинсского района РС (Я)"</t>
    </r>
  </si>
  <si>
    <t>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Решение сессии Мирнинского районного Совета депутатов от 16.11.2006 г.  № 28 - 38 "О возложении полномочий избирательной комиссии муниципального образования «Мирнинский район» на Мирнинскую территориальную избирательную комиссию", 
Решение сессии Мирнинского районного Совета депутатов от 25.10.07г. №37-19 "Устав муниципального образования «Мирнинский район»  Республики Саха (Якутия)",     
Решение сессии Мирнинского районного Совета депутатов от 23.04.2014 III - №5-15   "Положение об избирательной комиссии муниципального образования «Мирнинский район» Республики Саха (Якутия)"</t>
  </si>
  <si>
    <t xml:space="preserve">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Главы района  от 16.10.2018 № 1446 " Об утверждении муниципальной программы МО "МР" РС(Я) «Создание условий для развития средств массовой информации и формирования положительного имиджа МО "Мирнинский район" на 2019-2023 годы"                                                                                                    </t>
  </si>
  <si>
    <t xml:space="preserve">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Решение сессии III-№19-8 от 28.09.2016г. "О внесении изменений и дополнений в Положение "О пенсии за выслугу лет лицам, замещавшим муниципальные должности и должности муниципальной службы МО "Мирнинский район" РС (Я)" ; Распоряжение от 26.04.2012г. №312 "Об утверждении Положения о негосударственном пенсионном обеспечении лиц, замещающих муниципальные должности, муниципальных служащих и работников, замещающих должности, не отнесенные к должностям муниципальной службы"                                                                                                                       </t>
  </si>
  <si>
    <t>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от 30.08.2018 г. № 1185 "Об утверждении муниципальной программы МО "Мирнинский район" Республики Саха (Якутия) "Социальные меры реабилитации детей-сирот и детей, оставшихся без  попечения  родителей, в Мирнинском районе на 2019-2023 годы"</t>
  </si>
  <si>
    <r>
      <t>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Главы района от 31.08.2018г. №1188 "Об утверждении МП "Социальная поддержка населения" на 2019-2023 годы",
Постановление от 07.09.2018г. №1233 "Об утверждении МП "Создание условий для оказания медицинской помощи населению и охраны здоровья граждан на 2019-2023 годы";
Постановление от 31.08.2018 г. №1190 "Об утверждении муниципальной программы "Мирнинский район, доброжелательный к детям" на 2019-2023 годы"
Постановление от 30.08.2018 г. № 1185 "Об утверждении муниципальной программы МО "Мирнинский район" Республики Саха (Якутия) "Социальные меры реабилитации детей-сирот и детей, оставшихся без  попечения  родителей, в Мирнинском районе на 2019-2023 годы"</t>
    </r>
    <r>
      <rPr>
        <u/>
        <sz val="8"/>
        <rFont val="Times New Roman"/>
        <family val="1"/>
        <charset val="204"/>
      </rPr>
      <t>;</t>
    </r>
    <r>
      <rPr>
        <sz val="8"/>
        <rFont val="Times New Roman"/>
        <family val="1"/>
        <charset val="204"/>
      </rPr>
      <t xml:space="preserve">
Постановление от 11.11.2019г. №1588 "Об утверждении Положения о порядке оказания адресной материальной помощи ветеранам ВОВ 1941-1945 годов и супругам погибших (умерших) участников ВОВ 1941-1945 годов на проведение ремонта жилых помещений"
Решение сессии Мирнинского районного Совета депутатов от 20.11.2019г. IV - №11-6 "О предоставлении льготного проезда на пассажирском автомобильном и авиационном транспорте 
между поселениями в границах Мирнинского района в рамках муниципальной программы "Социальная поддержка населения" на 2019-2023гг. за счет средств бюджета МО «Мирнинский район» Республики Саха (Якутия) в 2020 году"
</t>
    </r>
  </si>
  <si>
    <t>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от 10.10.2018г. №1404 "Об утверждении МП "Индивидуальное жилищное строительство в Мирнинском районе" на 2019-2023 годы"</t>
  </si>
  <si>
    <t xml:space="preserve">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t>
  </si>
  <si>
    <t xml:space="preserve">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Решение сессии Мирнинского районного Совета депутатов от 16.12.2020г. IV - №19-16 "Об исполнении МО «Мирнинский район» Республики Саха (Якутия) переданных отдельных государственных полномочий Российской Федерации по подготовке и проведению Всероссийской переписи населения 2020 года, переданных для осуществления органам исполнительной власти Республики Саха (Якутия)"
       </t>
  </si>
  <si>
    <t xml:space="preserve">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Решение сессии районного Совета депутатов от 16.12.2020г. IV-19-14 "О внесении изменений в решение сессии районного Совета депутатов от 20.11.2019г. IV-№11-14 "Об исполнении МО «Мирнинский район» Республики Саха (Якутия) переданных отдельных государственных полномочий по государственному регулированию цен (тарифов)",
Решение сессии районного Совета депутатов от 20 ноября 2019г.IV - №11-12 "Об исполнении МО "Мирнинский район" Республики Саха (Якутия) переданных отдельных государственных полномочий по созданию административных комиссий и определению перечня должностных лиц, уполномоченных составлять протоколы об административных правонарушениях, предусмотренных Кодексом Республики Саха (Якутия) об административных правонарушениях",
Решение сессии районного Совета депутатов от 20 ноября 2019г. IV - №11-11 "Об исполнении МО "Мирнинский район" Республики Саха (Якутия) переданных отдельных государственных полномочий по осуществлению деятельности по опеке и попечительству",
Решение сессии районного Совета депутатов от 20 ноября 2019г.IV- №11-10 "Об исполнении МО "Мирнинский район" Республики Саха (Якутия) переданных отдельных государственных полномочий  по  осуществлению функций комиссии по делам несовершеннолетних и защите их прав"
</t>
  </si>
  <si>
    <t xml:space="preserve">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от 27.08.2018г. №1166 "Об утверждении МП "Создание условий для развития и поддержки сельскохозяйственного производства в поселениях, расширения рынка сельскохозяйственной продукции, сырья и продовольствия в мирнинском районе на 2019-2023 годы"                                                                                                                                                                                                                                                                           
Постановление от 29.05.2020 №0727 "Об утверждении Порядка предоставления субсидий из местного бюджета сельскохозяйственным товаропроизводителям на поддержку сельскохозяйственного производства за счет субвенций, предоставляемых из государственного бюджета Республики Саха (Якутия)
Решение Мирнинского районного Совета депутатов МО "Мирнинский район" РС(Я) от 20.11.2018 IV-N 3-3 "Об утверждении Положения об исполнении полномочий по созданию условий для развития сельскохозяйственного производства, расширения рынка сельскохозяйственной продукции, сырья и продовольствия на территории муниципального образования "Мирнинский район" Республики Саха (Якутия)"       </t>
  </si>
  <si>
    <t xml:space="preserve">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от 27.08.2018г. №1166 "Об утверждении МП "Создание условий для развития и поддержки сельскохозяйственного производства в поселениях, расширения рынка сельскохозяйственной продукции, сырья и продовольствия в мирнинском районе на 2019-2023 годы"                                                                                                                                                                                                                                                                           
Решение Мирнинского районного Совета депутатов МО "Мирнинский район" РС(Я) от 20.11.2018 IV-N 3-3 "Об утверждении Положения об исполнении полномочий по созданию условий для развития сельскохозяйственного производства, расширения рынка сельскохозяйственной продукции, сырья и продовольствия на территории муниципального образования "Мирнинский район" Республики Саха (Якутия)"
       </t>
  </si>
  <si>
    <t xml:space="preserve">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от 30.08.2018г. №1185 "Об утверждении муниципальной программы МО "Мирнинский район" Республики Саха (Якутия) "Социальные меры реабилитации детей-сирот и детей, оставшихся без попечения  родителей, в Мирнинском районе на 2019-2023 годы" (с изм.и доп.)
</t>
  </si>
  <si>
    <t xml:space="preserve">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Главы района от 30.08.2018г. №1185 "Об утверждении муниципальной программы МО «Мирнинский район» Республики Саха (Якутия) "Социальные меры реабилитации детей-сирот и детей, оставшихся без попечения родителей, в Мирнинском районе на 2019-2023 годы",
Постановление от 01 февраля 2012 г. №0092 "Об утверждении Административного регламента предоставления государственной услуги "Назначение и выплата единовременного, ежемесячного пособия на содержание детей-сирот и детей, оставшихся без попечения родителей, находящихся под опекой (попечительством) и в приемных семьях",
Постановление от 11 марта 2019 г. № 0395 "Об утверждении Административного регламента по предоставлению муниципальной услуги "Предоставление детям-сиротам и детям, оставшимся без попечения родителей, в Мирнинском районе путевок в школьные, студенческие, спортивно-оздоровительные лагеря (базы) труда и отдыха, в санаторно-курортные учреждения с оплатой проезда к месту лечения и обратно",
Постановление от 11 марта 2019 г. № 0394 "Об утверждении Административного регламента по предоставлению муниципальной услуги "Обеспечение детей-сирот и детей, оставшихся без попечения родителей, обучающихся в образовательных учреждениях, бесплатным проездом на городском, пригородном транспорте (кроме такси), а также бесплатным проездом один раз в год к месту жительства и обратно к месту учебы"
</t>
  </si>
  <si>
    <t xml:space="preserve">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Решение сессии Мирнинского районного Совета депутатов от 20.11.2019г. IV - №11-16 "Об исполнении МО «Мирнинский район» Республики Саха (Якутия) переданных отдельных государственных полномочий по выравниванию бюджетной обеспеченности поселений"
</t>
  </si>
  <si>
    <t xml:space="preserve">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от 21.08.2020г. №1196 "Об утверждении Порядка предоставления субвенций муниципальным образованиям Мирнинского района на осуществление переданных им полномочий по организации мероприятий при осуществлении деятельности по обращению с животными без владельцев"
</t>
  </si>
  <si>
    <t xml:space="preserve">Решение сессии Мирнинского районного Совета депутатов от 24 июня 2015 года III-№12-16 "О Порядке предоставления иных межбюджетных трансфертов из бюджета МО "Мирнинский район" Республики Саха (Якутия) бюджетам городских и сельских поселений Мирнинского района Республики Саха (Якутия)" (с изм.и доп.),
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Главы района от 29.10.2019г. №1539 "Об утверждении методики распределения иных межбюджетных трансфертов из бюджета МО "Мирнинский район" РС (Я) поселениям Мирнинского района РС (Я)"                </t>
  </si>
  <si>
    <t>0310,0314</t>
  </si>
  <si>
    <t xml:space="preserve">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Решение сессии Мирнинского районного Совета депутатов от 03.03.2005г. №14-9 "Об утверждении Положения о гарантиях и компенсациях для лиц, работающих в органах местного самоуправления (муниципальных органах) и муниципальных казенных, бюджетных. автономных учреждениях МО "Мирнинский район" РС (Я), расположенных в районах Крайнего Севера и приравненных к ним местностях, и членов их семей" 
 </t>
  </si>
  <si>
    <t>Распоряжение Правительства Республики Саха (Якутия) от 17.12.2021г. №1296-р "О выделении бюджетных ассигнований из резервного фонда Правительства РС (Я) на предупреждение и ликвидацию ЧС и последствий стихийных бедствий"</t>
  </si>
  <si>
    <t>Закон РС (Я) от 01.12.2020 года 2265-З N 441-VI "О государственном бюджете Республики Саха (Якутия) на 2021 год и плановый период 2022 и 2023 годов",
Закон РС (Я) от 30.11.2021 года 2416-З N 743-VI "О государственном бюджете Республики Саха (Якутия) на 2022 год и плановый период 2023 и 2024 годов"</t>
  </si>
  <si>
    <t>Закон РС (Я) от 01.12.2020 года 2265-З N 441-VI "О государственном бюджете Республики Саха (Якутия) на 2021 год и плановый период 2022 и 2023 годов",
Закон РС (Я) от 30.11.2021 года 2416-З N 743-VI "О государственном бюджете Республики Саха (Якутия) на 2022 год и плановый период 2023 и 2024 годов",
Закон Республики Саха (Якутия) от 15.12.2012 1154-З N 1201-IV (ред. от 24.12.2020) "Об обеспечении жилыми помещениями детей-сирот и детей, оставшихся без попечения родителей"</t>
  </si>
  <si>
    <t>Закон РС (Я) от 01.12.2020 года 2265-З N 441-VI "О государственном бюджете Республики Саха (Якутия) на 2021 год и плановый период 2022 и 2023 годов",
Закон РС (Я) от 30.11.2021 года 2416-З N 743-VI "О государственном бюджете Республики Саха (Якутия) на 2022 год и плановый период 2023 и 2024 годов"
Закон РС (Я) от 31.01.2008 года 552-З N 1119-III "Об организации и осуществлении деятельности по опеке и попечительству в РС (Я) и о наделении органов местного самоуправления муниципальных районов и городских округов РС (Я) отдельными государственными полномочиями по осуществлению деятельности по опеке и попечительству",                                                                                             
Закон Республики Саха (Якутия) от 30.05.2006 года 348-З N 711-111 "О наделении органов местного самоуправления муниципальных районов и городских округов Республики Саха (Якутия) отдельными государственными полномочиями по социальной поддержке детей-сирот и детей, оставшихся без попечения родителей",
Законом Республики Саха (Якутия) от 13.07.2006 369-З  № 753-III "О размере и порядке выплаты денежных средств на детей-сирот и детей, оставшихся без попечения родителей и находящихся под опекой (попечительством) и в приемных семьях, и о наделении органов местного самоуправления отдельными государственными полномочиями по осуществлению выплаты денежных средств"</t>
  </si>
  <si>
    <t>Закон Республики Саха (Якутия) от 10.07.2002 года 41-З N 417-II "О порядке наделения органов местного самоуправления в Республике Саха (Якутия) отдельными государственными полномочиями" 
Закон Республики Саха (Якутия) от 26.12.2007 года 523-З N 1091-III "О наделении органов местного самоуправления муниципальных районов Республики Саха (Якутия) отдельными государственными полномочиями по выравниванию бюджетной обеспеченности поселений",                                                     
Закон РС (Я) от 01.12.2020 года 2265-З N 441-VI "О государственном бюджете Республики Саха (Якутия) на 2021 год и плановый период 2022 и 2023 годов",
Закон РС (Я) от 30.11.2021 года 2416-З N 743-VI "О государственном бюджете Республики Саха (Якутия) на 2022 год и плановый период 2023 и 2024 годов"</t>
  </si>
  <si>
    <t>Закон РС (Я) от 02.04.2014 года 1288-З N 131-V "О наделении органов местного самоуправления муниципальных образований РС (Я) отдельными государственными полномочиями РС (Я) по организации мероприятий при осуществлении деятельности по обращению с животными без владельцев",
Закон РС (Я) от 18.12.2015 года 1559-З N 675-V "О внесении изменений в Закон РС (Я) "О наделении органов местного самоуправления муниципальных образований Республики Саха (Якутия) отдельными государственными полномочиями по организации проведения мероприятий по предупреждению и ликвидации болезней животных, их лечению, защите населения от болезней, общих для человека и животных",
Закон РС (Я) от 01.12.2020 года 2265-З N 441-VI "О государственном бюджете Республики Саха (Якутия) на 2021 год и плановый период 2022 и 2023 годов",
Закон РС (Я) от 30.11.2021 года 2416-З N 743-VI "О государственном бюджете Республики Саха (Якутия) на 2022 год и плановый период 2023 и 2024 годов"</t>
  </si>
  <si>
    <t>РЕЕСТР  РАСХОДНЫХ  ОБЯЗАТЕЛЬСТВ  АДМИНИСТРАЦИИ МУНИЦИПАЛЬНОГО  ОБРАЗОВАНИЯ "МИРНИНСКИЙ РАЙОН" РЕСПУБЛИКИ САХА (ЯКУТИЯ)
ВХОДЯЩИХ  В  СОСТАВ  СУБЪЕКТА  РОССИЙСКОЙ  ФЕДЕРАЦИИ</t>
  </si>
  <si>
    <t xml:space="preserve">Единица измерения: тыс руб </t>
  </si>
  <si>
    <t>1.5.</t>
  </si>
  <si>
    <t>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</si>
  <si>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2000</t>
  </si>
  <si>
    <t>1.5.1.</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</si>
  <si>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</si>
  <si>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2001</t>
  </si>
  <si>
    <t>Федеральный закон от 06.10.2003 № 131-ФЗ "Об общих принципах организации местного самоуправления в Российской Федерации"
273-ФЗ от 29.12.2012г. "Об образовании в Российской Федерации"</t>
  </si>
  <si>
    <t>29.12.2012г., не установлен</t>
  </si>
  <si>
    <t>Постановление Правительства Российской Федерации от 26 декабря 2017 г. N 1642 «Об утверждении государственной программы Российской Федерации «Развитие образования» на период 2018-2025 годы</t>
  </si>
  <si>
    <t>01.01.2018г., не установлен</t>
  </si>
  <si>
    <t>Закон Республики Саха (Якутия) от 19.12.2018г. 2078-3№47-IV "О государственном бюджете Ресрублики Саха (Якутия) на 2019 год и плановые периоды 2021-2022гг.", Закон Республики Саха (Якутия)от 15.12.2014 № 1401-З N 359-V "Об образовании в Республике Саха (Якутия)"</t>
  </si>
  <si>
    <t>01.01.2019г., не установлен, 2014-12-15, не установлен</t>
  </si>
  <si>
    <t>Постановление Правительства Республики Саха (Якутия) от 12.05.2016г. №153 "Об утверждении нормативов финансирования и методики расчета объема субвенций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указом Главы Республики Саха (Якутия) от 15.12.2017 года №2282 "осударственная программа Республики Саха (Якутия) «Развитие образования Республики Саха (Якутия) на 2016-2022 годы и на плановый период до 2026 года»</t>
  </si>
  <si>
    <t>12.05.2016г., не установлен</t>
  </si>
  <si>
    <t>01.01.2019г., не установлен, 24.04.2019г., не установлен</t>
  </si>
  <si>
    <t>1.5.2.</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</si>
  <si>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</si>
  <si>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2002</t>
  </si>
  <si>
    <t xml:space="preserve">
 в целом</t>
  </si>
  <si>
    <t xml:space="preserve">
29.12.2012г., не установлен</t>
  </si>
  <si>
    <t>1.4.2.21.</t>
  </si>
  <si>
    <t>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</si>
  <si>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1821</t>
  </si>
  <si>
    <t>1.4.2.37.</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</si>
  <si>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</si>
  <si>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1837</t>
  </si>
  <si>
    <t>0702,0703</t>
  </si>
  <si>
    <t>273-ФЗ от 29.12.2012г. "Об образовании в Российской Федерации"</t>
  </si>
  <si>
    <t>Постановление Правительства РФ от 26.10.2013г. №963 "О предоставлении компенсации расходов на оплату жилых помещений, отопления и освещения педагогическим работникам, руководителям, заместителям руководителей, руководителям структурных подразделений и их заместителям, состоящим в штате по основному месту работы в федеральных государственных образовательных организациях, проживающим и работающим по трудовому договору в сельских населенных пунктах, рабочих поселках (поселках городского типа)" (с изменениями и дополнениями)", постановление Правительства Российской Федерации от 04.04.2020г. №448 Правила предоставления и распределения иных межбюджетных трансфертов из федерального бюджета бюджетам субъектов Российской Федерации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субъектов Российской Федерации и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</si>
  <si>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26.10.2013г., не установлен</t>
  </si>
  <si>
    <t xml:space="preserve">1779-З №1115-V от 20.12.2016г. "О наделении органов местного самоуправления муниципальных районов и городских округов Республики Саха (Якутия) отдельными государственными полномочиями по предоставлению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компенсации расходов на оплату жилых помещений, отопления и освещения", закон Республики Саха (Якутия) от 16.03.2007г. 440-З №895-III «О наделении органов местного самоуправления муниципальных районов и городских округов Республики Саха (Якутия) отдельными государственными полномочиями по осуществлению выплаты вознаграждения педагогическим работникам государственных образовательных организаций Республики Саха (Якутия) и муниципальных образовательных организаций за выполнение функций классного руководителя»; закон Республики Саха (Якутия) от 12.12.2019г. 2199-З №309-IV (в редакции от 18.06.2020) «О государственном бюджете Республики Саха (Якутия) на 2020 год и на плановый период 2021 и 2022 годов»  </t>
  </si>
  <si>
    <t>01.01.2017г., не установлен, 16.03.2007г., не установлен, 12.12.2019г., не установлен</t>
  </si>
  <si>
    <t>1.1.1.17.</t>
  </si>
  <si>
    <t>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</si>
  <si>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</si>
  <si>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 xml:space="preserve">273-ФЗ от 29.12.2012г. "Об образовании в Российской Федерации"
Федеральный закон от 06.10.2003 № 131-ФЗ "Об общих принципах организации местного самоуправления в Российской Федерации" </t>
  </si>
  <si>
    <t>Закон Республики Саха (Якутия)от 15.12.2014 № 1401-З N 359-V "Об образовании в Республике Саха (Якутия)"</t>
  </si>
  <si>
    <t>0701</t>
  </si>
  <si>
    <t>1.4.2.51.</t>
  </si>
  <si>
    <t>на участие в урегулировании коллективных трудовых споров, на осуществление мероприятий в области охраны труда, предусмотренных трудовым законодательством, на осуществление уведомительной регистрации региональных соглашений, территориальных соглашений и коллективных договоров</t>
  </si>
  <si>
    <t>1851</t>
  </si>
  <si>
    <t>Закон РС (Я) от 08.12.2005 года 294-З N 595-III "О наделении органов местного самоуправления отдельными государственными полномочиями в области охраны труда" 
Закон РС (Я) от 12.12.2019 года 2199-З N 309-VI "О государственном бюджете Республики Саха (Якутия) на 2020 год и плановый период 2021 и 2022 годов"
Закон РС (Я) от 01.12.2020 года 2265-З N 441-VI "О государственном бюджете Республики Саха (Якутия) на 2021 год и плановый период 2022 и 2023 годов"</t>
  </si>
  <si>
    <t>01.01.2006, не утановлен</t>
  </si>
  <si>
    <t>1006</t>
  </si>
  <si>
    <t>1.4.2.93.</t>
  </si>
  <si>
    <t>на обеспечение функционирования государственного бюджетного учреждения по государственной кадастровой оценке в соответствии с пунктом 2 статьи 6 Федерального закона от 3 июля 2016 г. № 237-ФЗ «О государственной кадастровой оценке», на формирование и содержание архивных фондов субъекта Российской Федерации</t>
  </si>
  <si>
    <t>1893</t>
  </si>
  <si>
    <t>Федеральный закон от 06.10.2003 № 131-ФЗ "Об общих принципах организации местного самоуправления в Российской Федерации",
Федеральный закон от 22.10.2004 N 125-ФЗ (ред. от 11.06.2021) "Об архивном деле в Российской Федерации"</t>
  </si>
  <si>
    <t>Закон Республики Саха (Якутия) от 15.04.2004 131-З N 265-III (ред. от 10.11.2010) "О наделении ОМСУ МР и ГО РС (Я)отдельными государственными полномочиями по комплектованию, хранению, учету и использованию документов Архивного фонда РС (Я) и других архивных документов, относящихся к государственной собственности РС (Я)",
Закон Республики Саха (Якутия) от 31.01.2008 551-З N 1117-III (ред. от 30.06.2021) "Об архивном деле в Республике Саха (Якутия)",
Закон РС (Я) от 12.12.2019 года 2199-З N 309-VI "О государственном бюджете Республики Саха (Якутия) на 2020 год и плановый период 2021 и 2022 годов",
Закон РС (Я) от 01.12.2020 года 2265-З N 441-VI "О государственном бюджете Республики Саха (Якутия) на 2021 год и плановый период 2022 и 2023 годов"</t>
  </si>
  <si>
    <t>Постановление Правительства РС(Я) от 03.05.2006 N 166 (ред. от 08.09.2016) "Об утверждении Правил расходования субвенций из государственного бюджета Республики Саха (Якутия), выделяемых МР и ГО РС (Я) на осуществление отдельных государственных полномочий по комплектованию, хранению, учету и использованию архивных документов, относящихся к государственной собственности РС (Я)"</t>
  </si>
  <si>
    <t>1.4.2.36.</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</si>
  <si>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</si>
  <si>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</si>
  <si>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Федеральный закон от 06.10.2003 № 131-ФЗ "Об общих принципах организации местного самоуправления в Российской Федерации"Федеральный закон от 29.12.2012 № 273-ФЗ "Об образовании в Российской Федерации"</t>
  </si>
  <si>
    <t xml:space="preserve">2003-10-06, не установлен,  </t>
  </si>
  <si>
    <t xml:space="preserve">1) Постановление Правительства РС(Я) от 29.10.2009г. №448 "Об утверждении положения о выплате компенсации за содержание ребенка в образовательных организациях, реализующих основную общеобразовательную программу дошкольного образования"2) Приказ Министерства образования и науки РС (Я)  30.01.2019 №01-10/105  " Об утверждении среднего размера родительской платы за присмотр и уход за детьми в государственных и иуниципальных образовательных организациях, реализующих образовательную программу дошкольного образования на 2019 год. 3) Постановление  Правительства РС (Я)   от 29.01.2019 №9 "О внесении  изменений  в Постановление Правительства  РС (Я)  от 29.10.2009 №448 "Об утверждении положения о выплате компенсации за содержание ребенка в образовательных организациях, реализующих основную общеобразовательную программу дошкольного образования" 2) Постановление Правительства РС(Я) от 24.03.2007г. №102 "Об утверждении порядка расходования субвенции на финансирование образовательных учреждений для детей-сирот и детей, оставшихся без попечения родителей, и субвенции на выплату денежных средств на детей, находящихся под опекой и попечительством, на санаторно-курортное лечение, летний труд и отдых"
</t>
  </si>
  <si>
    <t xml:space="preserve">в целом
в целом
</t>
  </si>
  <si>
    <t>01.01.2016, не установлен
24.03.2007, не установлен
10.02.20019</t>
  </si>
  <si>
    <t>1.4.2.89.</t>
  </si>
  <si>
    <t>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t>
  </si>
  <si>
    <t>1889</t>
  </si>
  <si>
    <t>Федеральный закон от 06.10.2003 № 131-ФЗ "Об общих принципах организации местного самоуправления в Российской Федерации"
Закон РФ от 19.02.1993 года № 4520-1 «О государственных гарантиях и компенсациях для лиц, работающих и проживающих в районах Крайнего Севера и приравненных к ним местностях»
Федеральный закон от 25.10.2002г. №125-ФЗ "О жилищных субсидиях гражданам, выезжающим из районов Крайнего Севера и приравненных к ним местностей"
Федеральный закон от 17.07.2011г. №211-ФЗ "О жилищных субсидиях гражданам, выезжающим из закрывающихся населенных пунктов в районах Крайнего Севера и приравненных к ним местностей"</t>
  </si>
  <si>
    <t xml:space="preserve">
ст.33,35</t>
  </si>
  <si>
    <t>Закон Республики Саха (Якутия) от 22.03.2006г. 321-З   №655-III "О наделении органов местного самоуправления муниципальных районов и городских округов Республики Саха (Якутия) отдельными государственными полномочиями по реализации федеральных законов "О жилищных субсидиях гражданам, выезжающим из районов Крайнего Севера и приравненных к ним местностей" и "О жилищных субсидиях гражданам, выезжающим из закрывающихся населенных пунктов в районах Крайнего Севера и приравненных к ним местностей"
Закон РС (Я) от 12.12.2019 года 2199-З N 309-VI "О государственном бюджете Республики Саха (Якутия) на 2020 год и плановый период 2021 и 2022 годов"
Закон РС (Я) от 01.12.2020 года 2265-З N 441-VI "О государственном бюджете Республики Саха (Якутия) на 2021 год и плановый период 2022 и 2023 годов"</t>
  </si>
  <si>
    <t>1.1.1.19.</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</si>
  <si>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</si>
  <si>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</si>
  <si>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 xml:space="preserve">273-ФЗ от 29.12.2012г. "Об образовании в Российской Федерации", план мероприятий по реализации ключевых положений Послания Президента Российской Федерации В.В. Путина Федеральному Собранию Российской Федерации от 15 января 2020 года, федеральный закон от 1 марта 2020 г. № 47-ФЗ </t>
  </si>
  <si>
    <t>29.12.2012г., не установлен, 15.01.2020г., не устанвлен</t>
  </si>
  <si>
    <t>Указом Главы РС(Я) от 07.10.2020 г. № 1462 "Порядок предоставления и распределения субсидий из государственного бюджета Республики Саха (Якутия) местным бюджетам в целях софинансирования расходных обязательств муниципальных районов, возникающих при реализации государственных программ муниципальных районов Республики Саха (Якутия), предусматривающих мероприятия по организации бесплатного горячего питания обучающихся, получающих начальное общее образование в муниципальных образовательных организациях"</t>
  </si>
  <si>
    <t>0103,0104,0106,0113,0310,0412,0505,0702,0703,0709,0801,0804</t>
  </si>
  <si>
    <t>1.1.1.21.</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</si>
  <si>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</si>
  <si>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</si>
  <si>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Федеральный закон от 06.10.2003 № 131-ФЗ "Об общих принципах организации местного самоуправления в Российской Федерации" 
Федеральный закон от 29.12.2012 № 273-ФЗ "Об образовании в Российской Федерации"</t>
  </si>
  <si>
    <t>2012-12-29, не установлен</t>
  </si>
  <si>
    <t>Приказ Министерства образования и науки РФ от 13 июля 2017 г. № 656 “Об утверждении примерных положений об организациях отдыха детей и их оздоровления”</t>
  </si>
  <si>
    <t>13.06.2017, не установлен</t>
  </si>
  <si>
    <t>2014-12-15, не установлен 2007-06-19, не установлен</t>
  </si>
  <si>
    <t>Указ Главы Республики Саха (Якутия) от 16.12.2019г. №900 "О государственной программе Республики Саха (Якутия) "Развитие образования Республики Саха (Якутия) на 2020-2024 годы и на плановый период до 2026 года"</t>
  </si>
  <si>
    <t>1.3.1.1.</t>
  </si>
  <si>
    <t>создание музеев муниципального района</t>
  </si>
  <si>
    <t>1302</t>
  </si>
  <si>
    <t>Федеральный закон от 06.10.2003 № 131-ФЗ "Об общих принципах организации местного самоуправления в Российской Федерации"
Федеральный закон от 26.05.1996 № 54-ФЗ "О Музейном фонде Российской Федерации и музеях в Российской Федерации"</t>
  </si>
  <si>
    <t>2003-10-06, не установлен
1996-05-26, не установлен</t>
  </si>
  <si>
    <t>Указ президента Российской Федерации от 07.05.2012г.№597 "О мероприятих по реализации госцдарственной социальной политики"</t>
  </si>
  <si>
    <t>07.05.2012, не установлен</t>
  </si>
  <si>
    <t>Закон субъекта Российской Федерации от 20.06.1996 № З N 119-I "О Музейном фонде и музеях Республики Саха (Якутия)"</t>
  </si>
  <si>
    <t>20.06.1996, не установлен</t>
  </si>
  <si>
    <t>0801</t>
  </si>
  <si>
    <t>1.1.1.12.</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</si>
  <si>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</si>
  <si>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1014</t>
  </si>
  <si>
    <t>Федеральный закон от 06.10.2003 № 131-ФЗ "Об общих принципах организации местного самоуправления в Российской Федерации"
Федеральный закон от 19.05.1995 № 82-ФЗ "Об общественных объединениях"                           МП "Развитие и гармонизация  межнациональных и межконфессиональных отношений на территории МО "Мирнинский район" РС(Я)</t>
  </si>
  <si>
    <t>2003-10-06, не установлен
1995-05-19, не установлен</t>
  </si>
  <si>
    <t>Закон субъекта Российской Федерации от 24.06.2013 № 1222-З N 1335-IV "О культуре"</t>
  </si>
  <si>
    <t>2013-06-24, не установлен</t>
  </si>
  <si>
    <t>1.1.2.18.</t>
  </si>
  <si>
    <t>организация библиотечного обслуживания населения, комплектование и обеспечение сохранности библиотечных фондов библиотек  поселения</t>
  </si>
  <si>
    <t>1118</t>
  </si>
  <si>
    <t>Закон Республики Саха (Якутия) от 21 июля 1994 г. З N 27-I "О библиотечном деле"</t>
  </si>
  <si>
    <t>1.1.1.31.</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</si>
  <si>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</si>
  <si>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</si>
  <si>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Федеральный закон от 06.10.2003 № 131-ФЗ "Об общих принципах организации местного самоуправления в Российской Федерации"
Федеральный закон от 29.12.1994 № 78-ФЗ  "О библиотечном деле"</t>
  </si>
  <si>
    <t>2003-10-06, не установлен, 1994-12-29, не установлен</t>
  </si>
  <si>
    <t>Указ президента Российской Федерации от07.05.2012г.№597 "О мероприятих по реализации госцдарственной социальной политики"</t>
  </si>
  <si>
    <t>Закон субъекта Российской Федерации от 21.07.1994 № З N 27-I "О библиотечном деле"</t>
  </si>
  <si>
    <t>1994-07-21, не установлен</t>
  </si>
  <si>
    <t>Указ Президента Республики Саха (Якутия) от 29.08.2012г. №1616 "О концепции повышения заработной платы работников учреждений бюджетного сектора экономики и минимальной заработной платы в РС(Я) на 2012-2017гг.";                  Постановление Правительства РС(Я) №320 от 02.10.2017г. "О мерах по реализации в 2017-2018 гг. Указа Президента РС(Я) от 29.08.2012г. №1616 "О концепции повышения заработной платы работников учреждений бюджетного сектора экономики и минимальной заработной платы в РС(Якутия) на 2012-2017гг."</t>
  </si>
  <si>
    <t>29.08.2012, не установлен</t>
  </si>
  <si>
    <t>1.1.1.53.</t>
  </si>
  <si>
    <t>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</si>
  <si>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1055</t>
  </si>
  <si>
    <t xml:space="preserve">Постановление правительства РФ от 10.10.2013г. №903 "О федеральной целевой программе "Развитие единой государственной системы регистрации прав и кадастрового учета недвижимости (2014 - 2020 годы)"
</t>
  </si>
  <si>
    <t xml:space="preserve">Закон РС (Я) от 12.12.2019 года 2199-З N 309-VI "О государственном бюджете Республики Саха (Якутия) на 2020 год и плановый период 2021 и 2022 годов"
</t>
  </si>
  <si>
    <t xml:space="preserve">Указ Главы РС (Я) от 13.12.2019г.  №890 "О государственной программе Республики Саха (Якутия) "Управление собственностью на 2020 - 2024 годы"
</t>
  </si>
  <si>
    <t>0113,0412</t>
  </si>
  <si>
    <t>1.1.1.32.</t>
  </si>
  <si>
    <t>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</si>
  <si>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</si>
  <si>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2003-10-06, не установлен</t>
  </si>
  <si>
    <t>Закон субъекта Российской Федерации от 24.06.2013 № 1222-З N 1335-IV "О культуре"                          Закон   Республики Саха (Якутия) от 20.12.2017 года 1925-З №1429-V "О государственном бюджете Республики Саха (Якутия) на 2018 год и плановый 2019 и 2020 гоов"</t>
  </si>
  <si>
    <t>24.06.2013, не установлен</t>
  </si>
  <si>
    <t>1.4.1.11.</t>
  </si>
  <si>
    <t>на выплату единовременного пособия при всех формах устройства детей, лишенных родительского попечения, в семью</t>
  </si>
  <si>
    <t>1712</t>
  </si>
  <si>
    <t>Федеральный закон от 24.04.2008г. №48-ФЗ "Об опеке и попечительстве", федеральны закон от 19.05.1995г. №81-ФЗ "О государственных пособиях гражданам, имеющим детей"</t>
  </si>
  <si>
    <t>24.04.2008г., не установлен, 19.05.1995г., не установлен</t>
  </si>
  <si>
    <t>Закон Республики Саха (Якутия) от 13.07.2016г. 369-З №753-III "О размере и порядке выплаты денежных средств на детей-сирот и детей, оставшихся без попечения родителей и находящихся под опекой (попечительством), и о наделении органов местного самоуправления отдельными государственными полномочиями по осуществлению выплаты денежных средств"</t>
  </si>
  <si>
    <t>13.07.2016г., не установлен</t>
  </si>
  <si>
    <t>Постановление Правительства Республики Саха (Якутия) от 20.01.2017г. №13 "О внесении изменений в отдельные нормативные правовые акты Правительства Республики Саха (Якутия) в сфере опеки и попечительства над несовершеннолетними"</t>
  </si>
  <si>
    <t>20.01.2017г., не установлен</t>
  </si>
  <si>
    <t>1.3.1.8.</t>
  </si>
  <si>
    <t>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</si>
  <si>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</si>
  <si>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1004,1006</t>
  </si>
  <si>
    <t>1.1.1.44.</t>
  </si>
  <si>
    <t>обеспечение условий для развития на территории муниципального района физической культуры, школьного спорта и массового спорта</t>
  </si>
  <si>
    <t>1046</t>
  </si>
  <si>
    <t>0412,0501,1003,1004</t>
  </si>
  <si>
    <t>1.1.2.1.</t>
  </si>
  <si>
    <t>составление и рассмотрение проекта бюджета поселения, исполнение бюджета поселения, составление отчета об исполнении бюджета поселения</t>
  </si>
  <si>
    <t>1101</t>
  </si>
  <si>
    <t xml:space="preserve">Постановление Правительства РФ от 30.12.2017 г. N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</si>
  <si>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 xml:space="preserve">Указ Главы Республики Саха (Якутия) от 13.12.2019г. №897 "О государственной программе Республики Саха (Якутия) "Обеспечение качественным жильем и повышение качества жилищно-коммунальных услуг на 2020-2024 годы",
Постановление Правительства РС(Я) от 01.04.2020 N 65 (ред. от 02.12.2020) "О мерах по обеспечению жильем молодых семей в Республике Саха (Якутия)" </t>
  </si>
  <si>
    <t>0113,0405,0412,0505,0709,0804</t>
  </si>
  <si>
    <t>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районной администрации от 15.10.2018 г. №1443 "Об утверждении МП МО "Мирнинский район" РС(Я) "Развитие и гармонизация межнациональных и межконфессональных отношений" на 2019-2023 годы" (с изм.и доп.)</t>
  </si>
  <si>
    <t xml:space="preserve">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Главы района  от 14.11.2018 № 1626 " Об утверждении муниципальной программы «Доступность  дошкольного образования на 2019-2023 годы» (с изм. и доп.), 
Постановление Главы района от 18.12.2018г. №1819 "Порядок предоставления субсидии социально ориентированным некоммерческим организациям, не являющимся муниципальными учреждениями, на финансовое обеспечение (возмещение) части затрат на оказание образовательных услуг в сфере дошкольного образования, присмотр и уход за детьми, реализующим образовательную программу дошкольного образования в соответствии с уставной деятельностью на территории Мирнинского района Республики Саха (Якутия)"
</t>
  </si>
  <si>
    <t>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МО "МР" от 01.11.2018г. №1559 "Об утверждении муниципальной программы "Развитие системы общего образования" на 2019-2023гг (с изм. и доп.),                     
Постановление Главы района от 24.04.2019г. №0669 "Положение об оплате труда работников муниципальных образовательных учреждений МО "Мирнинский район" РС(Я)"</t>
  </si>
  <si>
    <t>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Главы района  от 29.10.2018 № 1529 "Об утверждении муниципальной программы "Доступное дополнительное образование»  на 2019-2023 годы (с изм. и доп.),  
Постановление Главы района от 13.03.2018г. №0308 "Об утверждении Положения о лагерях с дневным пребыванием детей, организованных образовательными организациями Мирнинского района, осуществляющими организацию отдыха и оздоровления обучающихся в каникулярное время"</t>
  </si>
  <si>
    <t>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районной Администрации от 05.10.2018г. №1363 "Об утверждении муниципальной программы МО Мирнинский район РС(Я)" Развитие библиотечного дела" на 2019-2023гг." (с изм.и доп.)</t>
  </si>
  <si>
    <t>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районной Администрации от 05.10.2018 г. №1362 "Об утверждении МП МО "Мирнинский район" РС(Я) "Развитие культуры и архивного дела" на 2019-2023 годы" (с изм.и доп.)</t>
  </si>
  <si>
    <t>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МО "МР" от 01.10.2018г. №1331 "Об утверждении муниципальной программы "Развитие физической культуры и спорта в Мирнинском районе" на 2019-2023 годы</t>
  </si>
  <si>
    <t>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от 10.10.2018 № 1401 Об утверждении МП "Управления муниципальной собственностью на 2019-2023 годы"</t>
  </si>
  <si>
    <t xml:space="preserve">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Главы района от 10.10.2018г. №1399 "Об утверждении МП "Обеспечение жильем молодых семей" на 2019-2023 годы";
Распоряжение от 28.04.2020г. №0250 "Об утверждении списка молодых семей-участников мероприятия "Обеспечение жильем молодых семей", изъявивших желание получить социальную выплату в 2020 году по МО "Мирнинский район" РС (Я)"
</t>
  </si>
  <si>
    <t>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районной Администрации 05.10.2018г. №1363 "Об утверждении муниципальной программы МО Мирнинский район РС(Я)" Развитие библиотечного дела" на 2019-2023гг." (с изм.и доп.)</t>
  </si>
  <si>
    <t>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районной Администрации от 16.10.2018г. №1447 "Об утверждении муниципальной программы МО Мирнинский район РС(Я) " Развитие музейного дела" на 2019-2023гг."</t>
  </si>
  <si>
    <t>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№1189 от 31.08.2018 "Об утверждении муниципальной программы "Поддержка общественных и гражданских инициатив на 2019-2023 годы"</t>
  </si>
  <si>
    <t xml:space="preserve">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t>
  </si>
  <si>
    <t>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Главы района от 22.05.2014г. №867 "Об определении уполномоченных органов для осуществления порядка расчета и выплаты денежных средств на детей-сирот оставшихся без попечения родителей, находящихся под опекой (попечительством)", 
Постановление МО "МР" от 01.11.2018г. №1559 "Об утверждении муниципальной программы "Развитие системы общего образования" на 2019-2023гг (с изм. и доп.)</t>
  </si>
  <si>
    <t>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МО "МР" от 01.11.2018г. №1559 "Об утверждении муниципальной программы "Развитие системы общего образования" на 2019-2023гг (с изм. и доп.)</t>
  </si>
  <si>
    <t>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Главы района  от 14.11.2018 № 1626 " Об утверждении муниципальной программы ) «Доступность  дошкольного образования" на 2019-2023 годы (с изм. И доп.)</t>
  </si>
  <si>
    <t>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МО "МР" от 01.11.2018г. №1559 "Об утверждении муниципальной программы МО "МР" РС(Я) "Развитие системы общего образования на 2019-2023гг" (с изм. и доп.)</t>
  </si>
  <si>
    <t xml:space="preserve"> 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Решение сессии Мирнинского районного Совета депутатов от 20.11.2019г. IV - №11-17 "Об исполнении МО «Мирнинский район» Республики Саха (Якутия) переданных отдельных государственных полномочий в  области охраны труда"</t>
  </si>
  <si>
    <t xml:space="preserve">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Решение сессии Мирнинского районного Совета депутатов от 20.11.2019г. IV - №11-13 "Об исполнении МО «Мирнинский район» Республики Саха (Якутия) отдельных государственных полномочий по реализации федеральных законов "О жилищных субсидиях гражданам, выезжающим из районов Крайнего Севера и приравненных к ним местностей" и "О жилищных субсидиях гражданам, выезжающим из закрывающихся населенных пунктов в районах Крайнего Севера и приравненных к ним местностей"
</t>
  </si>
  <si>
    <t>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Решение сессии Мирнинского районного Совета депутатов от 20.11.2019г.  IV - №11-9 "Об исполнении МО «Мирнинский район» Республики Саха (Якутия) переданных отдельных государственных полномочий по комплектованию, хранению, учету и использованию документов Архивного фонда Республики Саха (Якутия) и других архивных документов, относящихся к государственной собственности Республики Саха (Якутия)",
Постановление  районной Администрации от 05.10.2018 г. №1362 "Об утверждении МП МО "Мирнинский район" РС(Я) "Развитие культуры и архивного дела" на 2019-2023 годы"</t>
  </si>
  <si>
    <t>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МО "МР" от 01.11.2018г. №1559 "Об утверждении муниципальной программы "Развитие системы общего образования" на 2019-2023гг (с изм. и доп.), 
Постановление Главы района от 20.12.2018 № 1861 "Порядок предоставления и расходования субвенции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Постановление Главы от 24.04.2019 № 0669 "Положение об оплате труда работников муниципальных образовательных учреждений МО "Мирнинский район" РС(Я)"</t>
  </si>
  <si>
    <t xml:space="preserve"> Решение сессии Мирнинского районного Совета депутатов от 16.12.2020г. IV-№19-11 "О бюджете муниципального образования "Мирнинский район" Республики Саха (Якутия) на 2021 год и на плановый период 2022 и 2023 годов" (с изм.и доп.),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
Постановление МО "МР" от 01.11.2018г. №1559 "Об утверждении муниципальной программы "Развитие системы общего образования" на 2019-2023гг (с изм. и доп.), 
Постановление Главы района от 20.12.2018 № 1861 "Порядок предоставления и расходования субвенции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Постановление Главы от 24.04.2019 № 0669 "Положение об оплате труда работников муниципальных образовательных учреждений МО "Мирнинский район" РС(Я)"</t>
  </si>
  <si>
    <t>по состоянию на  14  ноября 2022 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</si>
</sst>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 ###\ ##0.00"/>
    <numFmt numFmtId="165" formatCode="_(* #,##0.00_);_(* \(#,##0.00\);_(* &quot;-&quot;??_);_(@_)"/>
  </numFmts>
  <fonts count="20" x14ac:knownFonts="1">
    <font>
      <sz val="10"/>
      <color rgb="FF000000"/>
      <name val="Times New Roman"/>
    </font>
    <font>
      <sz val="7"/>
      <color rgb="FF000000"/>
      <name val="Times New Roman"/>
      <family val="1"/>
      <charset val="204"/>
    </font>
    <font>
      <b/>
      <sz val="10"/>
      <color rgb="FF000000"/>
      <name val="Times New Roman"/>
      <family val="1"/>
      <charset val="204"/>
    </font>
    <font>
      <sz val="8"/>
      <color rgb="FF000000"/>
      <name val="Times New Roman"/>
      <family val="1"/>
      <charset val="204"/>
    </font>
    <font>
      <b/>
      <sz val="8"/>
      <color rgb="FF000000"/>
      <name val="Times New Roman"/>
      <family val="1"/>
      <charset val="204"/>
    </font>
    <font>
      <sz val="10"/>
      <color rgb="FF000000"/>
      <name val="Times New Roman"/>
      <family val="1"/>
      <charset val="204"/>
    </font>
    <font>
      <b/>
      <sz val="8"/>
      <color rgb="FF000000"/>
      <name val="Times New Roman"/>
      <family val="1"/>
      <charset val="204"/>
    </font>
    <font>
      <b/>
      <sz val="10"/>
      <color rgb="FF000000"/>
      <name val="Times New Roman"/>
      <family val="1"/>
      <charset val="204"/>
    </font>
    <font>
      <sz val="8"/>
      <name val="Times New Roman"/>
      <family val="1"/>
      <charset val="204"/>
    </font>
    <font>
      <sz val="10"/>
      <name val="Times New Roman"/>
      <family val="1"/>
      <charset val="204"/>
    </font>
    <font>
      <u/>
      <sz val="8"/>
      <name val="Times New Roman"/>
      <family val="1"/>
      <charset val="204"/>
    </font>
    <font>
      <b/>
      <sz val="8"/>
      <name val="Times New Roman"/>
      <family val="1"/>
      <charset val="204"/>
    </font>
    <font>
      <sz val="7.5"/>
      <name val="Times New Roman"/>
      <family val="1"/>
      <charset val="204"/>
    </font>
    <font>
      <sz val="12"/>
      <name val="Times New Roman"/>
      <family val="1"/>
      <charset val="204"/>
    </font>
    <font>
      <sz val="7"/>
      <name val="Times New Roman"/>
      <family val="1"/>
      <charset val="204"/>
    </font>
    <font>
      <b/>
      <sz val="10"/>
      <name val="Times New Roman"/>
      <family val="1"/>
      <charset val="204"/>
    </font>
    <font>
      <b/>
      <sz val="12"/>
      <name val="Times New Roman"/>
      <family val="1"/>
      <charset val="204"/>
    </font>
    <font>
      <sz val="8"/>
      <name val="Times New Roman Cyr"/>
      <family val="1"/>
      <charset val="204"/>
    </font>
    <font>
      <sz val="8"/>
      <color theme="1"/>
      <name val="Times New Roman"/>
      <family val="1"/>
      <charset val="204"/>
    </font>
    <font>
      <sz val="8"/>
      <color theme="1"/>
      <name val="Times New Roman Cyr"/>
      <family val="1"/>
      <charset val="204"/>
    </font>
  </fonts>
  <fills count="2">
    <fill>
      <patternFill patternType="none"/>
    </fill>
    <fill>
      <patternFill patternType="gray125"/>
    </fill>
  </fills>
  <borders count="2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diagonal/>
    </border>
    <border>
      <left style="medium">
        <color indexed="64"/>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top/>
      <bottom/>
      <diagonal/>
    </border>
  </borders>
  <cellStyleXfs count="2">
    <xf numFmtId="0" fontId="0" fillId="0" borderId="0">
      <alignment vertical="top" wrapText="1"/>
    </xf>
    <xf numFmtId="43" fontId="5" fillId="0" borderId="0" applyFont="0" applyFill="0" applyBorder="0" applyAlignment="0" applyProtection="0"/>
  </cellStyleXfs>
  <cellXfs count="188">
    <xf numFmtId="0" fontId="0" fillId="0" borderId="0" xfId="0" applyFont="1" applyFill="1" applyAlignment="1">
      <alignment vertical="top" wrapText="1"/>
    </xf>
    <xf numFmtId="0" fontId="9" fillId="0" borderId="0" xfId="0" applyFont="1" applyFill="1" applyAlignment="1">
      <alignment horizontal="left" vertical="center" wrapText="1"/>
    </xf>
    <xf numFmtId="0" fontId="9" fillId="0" borderId="0" xfId="0" applyFont="1" applyFill="1" applyAlignment="1">
      <alignment vertical="top" wrapText="1"/>
    </xf>
    <xf numFmtId="0" fontId="15" fillId="0" borderId="0" xfId="0" applyFont="1" applyFill="1" applyAlignment="1">
      <alignment vertical="center" wrapText="1"/>
    </xf>
    <xf numFmtId="43" fontId="15" fillId="0" borderId="0" xfId="0" applyNumberFormat="1" applyFont="1" applyFill="1" applyAlignment="1">
      <alignment vertical="center" wrapText="1"/>
    </xf>
    <xf numFmtId="43" fontId="2" fillId="0" borderId="0" xfId="0" applyNumberFormat="1"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43" fontId="9" fillId="0" borderId="0" xfId="0" applyNumberFormat="1" applyFont="1" applyFill="1" applyAlignment="1">
      <alignment vertical="center" wrapText="1"/>
    </xf>
    <xf numFmtId="43" fontId="0" fillId="0" borderId="0" xfId="0" applyNumberFormat="1" applyFont="1" applyFill="1" applyAlignment="1">
      <alignment vertical="center" wrapText="1"/>
    </xf>
    <xf numFmtId="0" fontId="16" fillId="0" borderId="0" xfId="0" applyFont="1" applyFill="1" applyAlignment="1">
      <alignment horizontal="center" vertical="top" wrapText="1"/>
    </xf>
    <xf numFmtId="43" fontId="9" fillId="0" borderId="0" xfId="1" applyNumberFormat="1" applyFont="1" applyFill="1" applyAlignment="1">
      <alignment horizontal="left" vertical="center" wrapText="1"/>
    </xf>
    <xf numFmtId="43" fontId="0" fillId="0" borderId="0" xfId="1" applyNumberFormat="1" applyFont="1" applyFill="1" applyAlignment="1">
      <alignment horizontal="left" vertical="center" wrapText="1"/>
    </xf>
    <xf numFmtId="0" fontId="8" fillId="0" borderId="2" xfId="0" applyFont="1" applyFill="1" applyBorder="1" applyAlignment="1">
      <alignment horizontal="center" vertical="top" wrapText="1"/>
    </xf>
    <xf numFmtId="43" fontId="8" fillId="0" borderId="2" xfId="1" applyFont="1" applyFill="1" applyBorder="1" applyAlignment="1">
      <alignment horizontal="center" vertical="top" wrapText="1"/>
    </xf>
    <xf numFmtId="43" fontId="8" fillId="0" borderId="9" xfId="1" applyFont="1" applyFill="1" applyBorder="1" applyAlignment="1">
      <alignment horizontal="center" vertical="top" wrapText="1"/>
    </xf>
    <xf numFmtId="43" fontId="8" fillId="0" borderId="14" xfId="1" applyNumberFormat="1" applyFont="1" applyFill="1" applyBorder="1" applyAlignment="1">
      <alignment horizontal="center" vertical="top" wrapText="1"/>
    </xf>
    <xf numFmtId="43" fontId="8" fillId="0" borderId="2" xfId="1" applyNumberFormat="1" applyFont="1" applyFill="1" applyBorder="1" applyAlignment="1">
      <alignment horizontal="center" vertical="top" wrapText="1"/>
    </xf>
    <xf numFmtId="43" fontId="8" fillId="0" borderId="15" xfId="1" applyNumberFormat="1" applyFont="1" applyFill="1" applyBorder="1" applyAlignment="1">
      <alignment horizontal="center" vertical="top" wrapText="1"/>
    </xf>
    <xf numFmtId="43" fontId="3" fillId="0" borderId="14" xfId="1" applyNumberFormat="1" applyFont="1" applyFill="1" applyBorder="1" applyAlignment="1">
      <alignment horizontal="center" vertical="top" wrapText="1"/>
    </xf>
    <xf numFmtId="43" fontId="3" fillId="0" borderId="2" xfId="1" applyNumberFormat="1" applyFont="1" applyFill="1" applyBorder="1" applyAlignment="1">
      <alignment horizontal="center" vertical="top" wrapText="1"/>
    </xf>
    <xf numFmtId="43" fontId="3" fillId="0" borderId="15" xfId="1" applyNumberFormat="1" applyFont="1" applyFill="1" applyBorder="1" applyAlignment="1">
      <alignment horizontal="center" vertical="top" wrapText="1"/>
    </xf>
    <xf numFmtId="43" fontId="3" fillId="0" borderId="10" xfId="1" applyNumberFormat="1" applyFont="1" applyFill="1" applyBorder="1" applyAlignment="1">
      <alignment horizontal="center" vertical="top" wrapText="1"/>
    </xf>
    <xf numFmtId="43" fontId="8" fillId="0" borderId="9" xfId="1" applyNumberFormat="1" applyFont="1" applyFill="1" applyBorder="1" applyAlignment="1">
      <alignment horizontal="center" vertical="top" wrapText="1"/>
    </xf>
    <xf numFmtId="43" fontId="8" fillId="0" borderId="10" xfId="1" applyNumberFormat="1" applyFont="1" applyFill="1" applyBorder="1" applyAlignment="1">
      <alignment horizontal="center" vertical="top" wrapText="1"/>
    </xf>
    <xf numFmtId="43" fontId="8" fillId="0" borderId="2" xfId="0" applyNumberFormat="1" applyFont="1" applyFill="1" applyBorder="1" applyAlignment="1">
      <alignment horizontal="center" vertical="top" wrapText="1"/>
    </xf>
    <xf numFmtId="0" fontId="6" fillId="0" borderId="2" xfId="0" applyFont="1" applyFill="1" applyBorder="1" applyAlignment="1">
      <alignment vertical="top"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9" xfId="0" applyFont="1" applyFill="1" applyBorder="1" applyAlignment="1">
      <alignment horizontal="center" vertical="center" wrapText="1"/>
    </xf>
    <xf numFmtId="43" fontId="6" fillId="0" borderId="14" xfId="1" applyNumberFormat="1" applyFont="1" applyFill="1" applyBorder="1" applyAlignment="1">
      <alignment horizontal="right" vertical="top" wrapText="1"/>
    </xf>
    <xf numFmtId="43" fontId="6" fillId="0" borderId="2" xfId="1" applyNumberFormat="1" applyFont="1" applyFill="1" applyBorder="1" applyAlignment="1">
      <alignment horizontal="right" vertical="top" wrapText="1"/>
    </xf>
    <xf numFmtId="43" fontId="6" fillId="0" borderId="15" xfId="1" applyNumberFormat="1" applyFont="1" applyFill="1" applyBorder="1" applyAlignment="1">
      <alignment horizontal="right" vertical="top" wrapText="1"/>
    </xf>
    <xf numFmtId="43" fontId="6" fillId="0" borderId="14" xfId="1" applyFont="1" applyFill="1" applyBorder="1" applyAlignment="1">
      <alignment horizontal="right" vertical="top" wrapText="1"/>
    </xf>
    <xf numFmtId="43" fontId="6" fillId="0" borderId="2" xfId="1" applyFont="1" applyFill="1" applyBorder="1" applyAlignment="1">
      <alignment horizontal="right" vertical="top" wrapText="1"/>
    </xf>
    <xf numFmtId="43" fontId="6" fillId="0" borderId="15" xfId="1" applyFont="1" applyFill="1" applyBorder="1" applyAlignment="1">
      <alignment horizontal="right" vertical="top" wrapText="1"/>
    </xf>
    <xf numFmtId="0" fontId="6" fillId="0" borderId="2" xfId="0" applyFont="1" applyFill="1" applyBorder="1" applyAlignment="1">
      <alignment horizontal="right" vertical="top" wrapText="1"/>
    </xf>
    <xf numFmtId="0" fontId="7" fillId="0" borderId="0" xfId="0" applyFont="1" applyFill="1" applyAlignment="1">
      <alignment vertical="top" wrapText="1"/>
    </xf>
    <xf numFmtId="0" fontId="4" fillId="0" borderId="2" xfId="0" applyFont="1" applyFill="1" applyBorder="1" applyAlignment="1">
      <alignment vertical="top" wrapText="1"/>
    </xf>
    <xf numFmtId="0" fontId="4" fillId="0" borderId="2" xfId="0" applyFont="1" applyFill="1" applyBorder="1" applyAlignment="1">
      <alignment horizontal="center" vertical="top" wrapText="1"/>
    </xf>
    <xf numFmtId="0" fontId="8" fillId="0" borderId="2" xfId="0" applyFont="1" applyFill="1" applyBorder="1" applyAlignment="1">
      <alignment vertical="top" wrapText="1"/>
    </xf>
    <xf numFmtId="0" fontId="3" fillId="0" borderId="2" xfId="0" applyFont="1" applyFill="1" applyBorder="1" applyAlignment="1">
      <alignment vertical="top" wrapText="1"/>
    </xf>
    <xf numFmtId="0" fontId="3" fillId="0" borderId="2" xfId="0" applyFont="1" applyFill="1" applyBorder="1" applyAlignment="1">
      <alignment horizontal="center" vertical="top" wrapText="1"/>
    </xf>
    <xf numFmtId="0" fontId="3" fillId="0" borderId="9" xfId="0" applyFont="1" applyFill="1" applyBorder="1" applyAlignment="1">
      <alignment horizontal="center" vertical="top" wrapText="1"/>
    </xf>
    <xf numFmtId="43" fontId="3" fillId="0" borderId="14" xfId="1" applyNumberFormat="1" applyFont="1" applyFill="1" applyBorder="1" applyAlignment="1">
      <alignment horizontal="right" vertical="top" wrapText="1"/>
    </xf>
    <xf numFmtId="43" fontId="3" fillId="0" borderId="2" xfId="1" applyNumberFormat="1" applyFont="1" applyFill="1" applyBorder="1" applyAlignment="1">
      <alignment horizontal="right" vertical="top" wrapText="1"/>
    </xf>
    <xf numFmtId="43" fontId="3" fillId="0" borderId="2" xfId="1" applyFont="1" applyFill="1" applyBorder="1" applyAlignment="1">
      <alignment horizontal="right" vertical="top" wrapText="1"/>
    </xf>
    <xf numFmtId="43" fontId="3" fillId="0" borderId="15" xfId="1" applyFont="1" applyFill="1" applyBorder="1" applyAlignment="1">
      <alignment horizontal="right" vertical="top" wrapText="1"/>
    </xf>
    <xf numFmtId="43" fontId="3" fillId="0" borderId="14" xfId="1" applyFont="1" applyFill="1" applyBorder="1" applyAlignment="1">
      <alignment horizontal="right" vertical="top" wrapText="1"/>
    </xf>
    <xf numFmtId="43" fontId="3" fillId="0" borderId="15" xfId="1" applyNumberFormat="1" applyFont="1" applyFill="1" applyBorder="1" applyAlignment="1">
      <alignment horizontal="right" vertical="top" wrapText="1"/>
    </xf>
    <xf numFmtId="0" fontId="0" fillId="0" borderId="2" xfId="0" applyFont="1" applyFill="1" applyBorder="1" applyAlignment="1">
      <alignment vertical="top" wrapText="1"/>
    </xf>
    <xf numFmtId="0" fontId="9" fillId="0" borderId="2" xfId="0" applyFont="1" applyFill="1" applyBorder="1" applyAlignment="1">
      <alignment vertical="top" wrapText="1"/>
    </xf>
    <xf numFmtId="43" fontId="0" fillId="0" borderId="2" xfId="1" applyNumberFormat="1" applyFont="1" applyFill="1" applyBorder="1" applyAlignment="1">
      <alignment vertical="top" wrapText="1"/>
    </xf>
    <xf numFmtId="4" fontId="3" fillId="0" borderId="2" xfId="1" applyNumberFormat="1" applyFont="1" applyFill="1" applyBorder="1" applyAlignment="1">
      <alignment horizontal="right" vertical="top" wrapText="1"/>
    </xf>
    <xf numFmtId="4" fontId="3" fillId="0" borderId="14" xfId="1" applyNumberFormat="1" applyFont="1" applyFill="1" applyBorder="1" applyAlignment="1">
      <alignment horizontal="right" vertical="top" wrapText="1"/>
    </xf>
    <xf numFmtId="0" fontId="3" fillId="0" borderId="2" xfId="0" applyFont="1" applyFill="1" applyBorder="1" applyAlignment="1">
      <alignment horizontal="left" vertical="top" wrapText="1"/>
    </xf>
    <xf numFmtId="0" fontId="8" fillId="0" borderId="2" xfId="0" applyFont="1" applyFill="1" applyBorder="1" applyAlignment="1">
      <alignment horizontal="left" vertical="top" wrapText="1"/>
    </xf>
    <xf numFmtId="49" fontId="3" fillId="0" borderId="9" xfId="0" applyNumberFormat="1" applyFont="1" applyFill="1" applyBorder="1" applyAlignment="1">
      <alignment horizontal="center" vertical="top" wrapText="1"/>
    </xf>
    <xf numFmtId="0" fontId="17" fillId="0" borderId="4" xfId="0" applyFont="1" applyFill="1" applyBorder="1" applyAlignment="1">
      <alignment vertical="top" wrapText="1"/>
    </xf>
    <xf numFmtId="0" fontId="17" fillId="0" borderId="4" xfId="0" applyFont="1" applyFill="1" applyBorder="1" applyAlignment="1">
      <alignment vertical="top"/>
    </xf>
    <xf numFmtId="0" fontId="17" fillId="0" borderId="4" xfId="0" applyFont="1" applyFill="1" applyBorder="1" applyAlignment="1">
      <alignment horizontal="left" vertical="top" wrapText="1"/>
    </xf>
    <xf numFmtId="0" fontId="3" fillId="0" borderId="0" xfId="0" applyFont="1" applyFill="1" applyAlignment="1">
      <alignment vertical="top" wrapText="1"/>
    </xf>
    <xf numFmtId="0" fontId="19" fillId="0" borderId="4" xfId="0" applyFont="1" applyFill="1" applyBorder="1" applyAlignment="1">
      <alignment vertical="top" wrapText="1"/>
    </xf>
    <xf numFmtId="0" fontId="19" fillId="0" borderId="4" xfId="0" applyFont="1" applyFill="1" applyBorder="1" applyAlignment="1">
      <alignment horizontal="left" vertical="top" wrapText="1"/>
    </xf>
    <xf numFmtId="0" fontId="17" fillId="0" borderId="5" xfId="0" applyFont="1" applyFill="1" applyBorder="1" applyAlignment="1">
      <alignment vertical="top" wrapText="1"/>
    </xf>
    <xf numFmtId="0" fontId="19" fillId="0" borderId="4" xfId="0" applyFont="1" applyFill="1" applyBorder="1" applyAlignment="1">
      <alignment vertical="top"/>
    </xf>
    <xf numFmtId="43" fontId="8" fillId="0" borderId="2" xfId="1" applyNumberFormat="1" applyFont="1" applyFill="1" applyBorder="1" applyAlignment="1">
      <alignment horizontal="right" vertical="top" wrapText="1"/>
    </xf>
    <xf numFmtId="43" fontId="8" fillId="0" borderId="14" xfId="1" applyNumberFormat="1" applyFont="1" applyFill="1" applyBorder="1" applyAlignment="1">
      <alignment horizontal="right" vertical="top" wrapText="1"/>
    </xf>
    <xf numFmtId="43" fontId="8" fillId="0" borderId="15" xfId="1" applyNumberFormat="1" applyFont="1" applyFill="1" applyBorder="1" applyAlignment="1">
      <alignment horizontal="right" vertical="top" wrapText="1"/>
    </xf>
    <xf numFmtId="43" fontId="0" fillId="0" borderId="2" xfId="1" applyFont="1" applyFill="1" applyBorder="1" applyAlignment="1">
      <alignment vertical="top" wrapText="1"/>
    </xf>
    <xf numFmtId="0" fontId="3" fillId="0" borderId="8" xfId="0" applyFont="1" applyFill="1" applyBorder="1" applyAlignment="1">
      <alignment horizontal="left" vertical="top" wrapText="1"/>
    </xf>
    <xf numFmtId="0" fontId="7" fillId="0" borderId="2" xfId="0" applyFont="1" applyFill="1" applyBorder="1" applyAlignment="1">
      <alignment horizontal="center" vertical="top" wrapText="1"/>
    </xf>
    <xf numFmtId="0" fontId="3" fillId="0" borderId="2" xfId="0" applyFont="1" applyFill="1" applyBorder="1" applyAlignment="1">
      <alignment horizontal="right" vertical="top" wrapText="1"/>
    </xf>
    <xf numFmtId="0" fontId="5" fillId="0" borderId="0" xfId="0" applyFont="1" applyFill="1" applyAlignment="1">
      <alignment vertical="top" wrapText="1"/>
    </xf>
    <xf numFmtId="0" fontId="11" fillId="0" borderId="2" xfId="0" applyFont="1" applyFill="1" applyBorder="1" applyAlignment="1">
      <alignment vertical="top" wrapText="1"/>
    </xf>
    <xf numFmtId="0" fontId="11" fillId="0" borderId="2" xfId="0" applyFont="1" applyFill="1" applyBorder="1" applyAlignment="1">
      <alignment horizontal="center" vertical="top" wrapText="1"/>
    </xf>
    <xf numFmtId="0" fontId="8" fillId="0" borderId="9" xfId="0" applyFont="1" applyFill="1" applyBorder="1" applyAlignment="1">
      <alignment horizontal="center" vertical="top" wrapText="1"/>
    </xf>
    <xf numFmtId="43" fontId="9" fillId="0" borderId="2" xfId="1" applyNumberFormat="1" applyFont="1" applyFill="1" applyBorder="1" applyAlignment="1">
      <alignment vertical="top" wrapText="1"/>
    </xf>
    <xf numFmtId="43" fontId="8" fillId="0" borderId="2" xfId="1" applyFont="1" applyFill="1" applyBorder="1" applyAlignment="1">
      <alignment horizontal="right" vertical="top" wrapText="1"/>
    </xf>
    <xf numFmtId="43" fontId="8" fillId="0" borderId="15" xfId="1" applyFont="1" applyFill="1" applyBorder="1" applyAlignment="1">
      <alignment horizontal="right" vertical="top" wrapText="1"/>
    </xf>
    <xf numFmtId="43" fontId="8" fillId="0" borderId="14" xfId="1" applyFont="1" applyFill="1" applyBorder="1" applyAlignment="1">
      <alignment horizontal="right" vertical="top" wrapText="1"/>
    </xf>
    <xf numFmtId="0" fontId="12" fillId="0" borderId="2" xfId="0" applyFont="1" applyFill="1" applyBorder="1" applyAlignment="1">
      <alignment vertical="top" wrapText="1"/>
    </xf>
    <xf numFmtId="0" fontId="7" fillId="0" borderId="9" xfId="0" applyFont="1" applyFill="1" applyBorder="1" applyAlignment="1">
      <alignment horizontal="center" vertical="top" wrapText="1"/>
    </xf>
    <xf numFmtId="43" fontId="3" fillId="0" borderId="3" xfId="1" applyNumberFormat="1" applyFont="1" applyFill="1" applyBorder="1" applyAlignment="1">
      <alignment horizontal="right" vertical="top" wrapText="1"/>
    </xf>
    <xf numFmtId="43" fontId="3" fillId="0" borderId="20" xfId="1" applyNumberFormat="1" applyFont="1" applyFill="1" applyBorder="1" applyAlignment="1">
      <alignment horizontal="right" vertical="top" wrapText="1"/>
    </xf>
    <xf numFmtId="43" fontId="3" fillId="0" borderId="4" xfId="1" applyNumberFormat="1" applyFont="1" applyFill="1" applyBorder="1" applyAlignment="1">
      <alignment horizontal="right" vertical="top" wrapText="1"/>
    </xf>
    <xf numFmtId="43" fontId="0" fillId="0" borderId="10" xfId="1" applyNumberFormat="1" applyFont="1" applyFill="1" applyBorder="1" applyAlignment="1">
      <alignment vertical="top" wrapText="1"/>
    </xf>
    <xf numFmtId="165" fontId="3" fillId="0" borderId="14" xfId="1" applyNumberFormat="1" applyFont="1" applyFill="1" applyBorder="1" applyAlignment="1">
      <alignment horizontal="right" vertical="top" wrapText="1"/>
    </xf>
    <xf numFmtId="165" fontId="3" fillId="0" borderId="2" xfId="1" applyNumberFormat="1" applyFont="1" applyFill="1" applyBorder="1" applyAlignment="1">
      <alignment horizontal="right" vertical="top" wrapText="1"/>
    </xf>
    <xf numFmtId="165" fontId="3" fillId="0" borderId="21" xfId="1" applyNumberFormat="1" applyFont="1" applyFill="1" applyBorder="1" applyAlignment="1">
      <alignment horizontal="right" vertical="top" wrapText="1"/>
    </xf>
    <xf numFmtId="43" fontId="3" fillId="0" borderId="21" xfId="1" applyNumberFormat="1" applyFont="1" applyFill="1" applyBorder="1" applyAlignment="1">
      <alignment horizontal="right" vertical="top" wrapText="1"/>
    </xf>
    <xf numFmtId="165" fontId="3" fillId="0" borderId="15" xfId="1" applyNumberFormat="1" applyFont="1" applyFill="1" applyBorder="1" applyAlignment="1">
      <alignment horizontal="right" vertical="top" wrapText="1"/>
    </xf>
    <xf numFmtId="164" fontId="3" fillId="0" borderId="14" xfId="1" applyNumberFormat="1" applyFont="1" applyFill="1" applyBorder="1" applyAlignment="1">
      <alignment horizontal="right" vertical="top" wrapText="1"/>
    </xf>
    <xf numFmtId="164" fontId="3" fillId="0" borderId="2" xfId="1" applyNumberFormat="1" applyFont="1" applyFill="1" applyBorder="1" applyAlignment="1">
      <alignment horizontal="right" vertical="top" wrapText="1"/>
    </xf>
    <xf numFmtId="164" fontId="3" fillId="0" borderId="15" xfId="1" applyNumberFormat="1" applyFont="1" applyFill="1" applyBorder="1" applyAlignment="1">
      <alignment horizontal="right" vertical="top" wrapText="1"/>
    </xf>
    <xf numFmtId="0" fontId="8" fillId="0" borderId="3" xfId="0" applyFont="1" applyFill="1" applyBorder="1" applyAlignment="1">
      <alignment vertical="top" wrapText="1"/>
    </xf>
    <xf numFmtId="43" fontId="6" fillId="0" borderId="3" xfId="1" applyNumberFormat="1" applyFont="1" applyFill="1" applyBorder="1" applyAlignment="1">
      <alignment horizontal="right" vertical="top" wrapText="1"/>
    </xf>
    <xf numFmtId="43" fontId="3" fillId="0" borderId="9" xfId="1" applyNumberFormat="1" applyFont="1" applyFill="1" applyBorder="1" applyAlignment="1">
      <alignment horizontal="right" vertical="top" wrapText="1"/>
    </xf>
    <xf numFmtId="43" fontId="0" fillId="0" borderId="4" xfId="1" applyNumberFormat="1" applyFont="1" applyFill="1" applyBorder="1" applyAlignment="1">
      <alignment vertical="top" wrapText="1"/>
    </xf>
    <xf numFmtId="43" fontId="3" fillId="0" borderId="10" xfId="1" applyNumberFormat="1" applyFont="1" applyFill="1" applyBorder="1" applyAlignment="1">
      <alignment horizontal="right" vertical="top" wrapText="1"/>
    </xf>
    <xf numFmtId="43" fontId="3" fillId="0" borderId="6" xfId="1" applyNumberFormat="1" applyFont="1" applyFill="1" applyBorder="1" applyAlignment="1">
      <alignment horizontal="right" vertical="top" wrapText="1"/>
    </xf>
    <xf numFmtId="43" fontId="3" fillId="0" borderId="22" xfId="1" applyNumberFormat="1" applyFont="1" applyFill="1" applyBorder="1" applyAlignment="1">
      <alignment horizontal="right" vertical="top" wrapText="1"/>
    </xf>
    <xf numFmtId="43" fontId="0" fillId="0" borderId="23" xfId="1" applyNumberFormat="1" applyFont="1" applyFill="1" applyBorder="1" applyAlignment="1">
      <alignment vertical="top" wrapText="1"/>
    </xf>
    <xf numFmtId="0" fontId="18" fillId="0" borderId="7" xfId="0" applyNumberFormat="1" applyFont="1" applyFill="1" applyBorder="1" applyAlignment="1">
      <alignment vertical="top" wrapText="1"/>
    </xf>
    <xf numFmtId="0" fontId="18" fillId="0" borderId="7" xfId="0" applyNumberFormat="1" applyFont="1" applyFill="1" applyBorder="1" applyAlignment="1">
      <alignment horizontal="left" vertical="top" wrapText="1"/>
    </xf>
    <xf numFmtId="0" fontId="18" fillId="0" borderId="4" xfId="0" applyNumberFormat="1" applyFont="1" applyFill="1" applyBorder="1" applyAlignment="1">
      <alignment vertical="top" wrapText="1"/>
    </xf>
    <xf numFmtId="0" fontId="18" fillId="0" borderId="2" xfId="0" applyFont="1" applyFill="1" applyBorder="1" applyAlignment="1">
      <alignment vertical="top" wrapText="1"/>
    </xf>
    <xf numFmtId="0" fontId="18" fillId="0" borderId="2" xfId="0" applyFont="1" applyFill="1" applyBorder="1" applyAlignment="1">
      <alignment horizontal="left" vertical="top" wrapText="1"/>
    </xf>
    <xf numFmtId="0" fontId="19" fillId="0" borderId="5" xfId="0" applyFont="1" applyFill="1" applyBorder="1" applyAlignment="1">
      <alignment horizontal="left" vertical="top" wrapText="1"/>
    </xf>
    <xf numFmtId="43" fontId="3" fillId="0" borderId="7" xfId="1" applyNumberFormat="1" applyFont="1" applyFill="1" applyBorder="1" applyAlignment="1">
      <alignment horizontal="right" vertical="top" wrapText="1"/>
    </xf>
    <xf numFmtId="43" fontId="0" fillId="0" borderId="19" xfId="1" applyNumberFormat="1" applyFont="1" applyFill="1" applyBorder="1" applyAlignment="1">
      <alignment vertical="top" wrapText="1"/>
    </xf>
    <xf numFmtId="43" fontId="3" fillId="0" borderId="24" xfId="1" applyNumberFormat="1" applyFont="1" applyFill="1" applyBorder="1" applyAlignment="1">
      <alignment horizontal="right" vertical="top"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43" fontId="4" fillId="0" borderId="14" xfId="1" applyNumberFormat="1" applyFont="1" applyFill="1" applyBorder="1" applyAlignment="1">
      <alignment horizontal="right" vertical="top" wrapText="1"/>
    </xf>
    <xf numFmtId="43" fontId="4" fillId="0" borderId="2" xfId="1" applyNumberFormat="1" applyFont="1" applyFill="1" applyBorder="1" applyAlignment="1">
      <alignment horizontal="right" vertical="top" wrapText="1"/>
    </xf>
    <xf numFmtId="43" fontId="4" fillId="0" borderId="15" xfId="1" applyNumberFormat="1" applyFont="1" applyFill="1" applyBorder="1" applyAlignment="1">
      <alignment horizontal="right" vertical="top" wrapText="1"/>
    </xf>
    <xf numFmtId="43" fontId="4" fillId="0" borderId="21" xfId="1" applyNumberFormat="1" applyFont="1" applyFill="1" applyBorder="1" applyAlignment="1">
      <alignment horizontal="right" vertical="top" wrapText="1"/>
    </xf>
    <xf numFmtId="43" fontId="4" fillId="0" borderId="14" xfId="1" applyFont="1" applyFill="1" applyBorder="1" applyAlignment="1">
      <alignment horizontal="right" vertical="top" wrapText="1"/>
    </xf>
    <xf numFmtId="43" fontId="4" fillId="0" borderId="2" xfId="1" applyFont="1" applyFill="1" applyBorder="1" applyAlignment="1">
      <alignment horizontal="right" vertical="top" wrapText="1"/>
    </xf>
    <xf numFmtId="43" fontId="4" fillId="0" borderId="15" xfId="1" applyFont="1" applyFill="1" applyBorder="1" applyAlignment="1">
      <alignment horizontal="right" vertical="top" wrapText="1"/>
    </xf>
    <xf numFmtId="0" fontId="2" fillId="0" borderId="2" xfId="0" applyFont="1" applyFill="1" applyBorder="1" applyAlignment="1">
      <alignment vertical="top" wrapText="1"/>
    </xf>
    <xf numFmtId="0" fontId="2" fillId="0" borderId="0" xfId="0" applyFont="1" applyFill="1" applyAlignment="1">
      <alignment vertical="top" wrapText="1"/>
    </xf>
    <xf numFmtId="43" fontId="7" fillId="0" borderId="2" xfId="1" applyNumberFormat="1" applyFont="1" applyFill="1" applyBorder="1" applyAlignment="1">
      <alignment vertical="top" wrapText="1"/>
    </xf>
    <xf numFmtId="0" fontId="4" fillId="0" borderId="9" xfId="0" applyFont="1" applyFill="1" applyBorder="1" applyAlignment="1">
      <alignment horizontal="center" vertical="top" wrapText="1"/>
    </xf>
    <xf numFmtId="43" fontId="2" fillId="0" borderId="2" xfId="1" applyNumberFormat="1" applyFont="1" applyFill="1" applyBorder="1" applyAlignment="1">
      <alignment vertical="top" wrapText="1"/>
    </xf>
    <xf numFmtId="0" fontId="4" fillId="0" borderId="9" xfId="0" applyFont="1" applyFill="1" applyBorder="1" applyAlignment="1">
      <alignment vertical="top" wrapText="1"/>
    </xf>
    <xf numFmtId="43" fontId="4" fillId="0" borderId="16" xfId="1" applyNumberFormat="1" applyFont="1" applyFill="1" applyBorder="1" applyAlignment="1">
      <alignment horizontal="right" vertical="top" wrapText="1"/>
    </xf>
    <xf numFmtId="43" fontId="4" fillId="0" borderId="17" xfId="1" applyNumberFormat="1" applyFont="1" applyFill="1" applyBorder="1" applyAlignment="1">
      <alignment horizontal="right" vertical="top" wrapText="1"/>
    </xf>
    <xf numFmtId="43" fontId="4" fillId="0" borderId="18" xfId="1" applyNumberFormat="1" applyFont="1" applyFill="1" applyBorder="1" applyAlignment="1">
      <alignment horizontal="right" vertical="top" wrapText="1"/>
    </xf>
    <xf numFmtId="43" fontId="4" fillId="0" borderId="16" xfId="1" applyFont="1" applyFill="1" applyBorder="1" applyAlignment="1">
      <alignment horizontal="right" vertical="top" wrapText="1"/>
    </xf>
    <xf numFmtId="43" fontId="4" fillId="0" borderId="17" xfId="1" applyFont="1" applyFill="1" applyBorder="1" applyAlignment="1">
      <alignment horizontal="right" vertical="top" wrapText="1"/>
    </xf>
    <xf numFmtId="43" fontId="4" fillId="0" borderId="18" xfId="1" applyFont="1" applyFill="1" applyBorder="1" applyAlignment="1">
      <alignment horizontal="right" vertical="top" wrapText="1"/>
    </xf>
    <xf numFmtId="0" fontId="4" fillId="0" borderId="2" xfId="0" applyFont="1" applyFill="1" applyBorder="1" applyAlignment="1">
      <alignment horizontal="right" vertical="top" wrapText="1"/>
    </xf>
    <xf numFmtId="0" fontId="9" fillId="0" borderId="0" xfId="0" applyFont="1" applyFill="1" applyBorder="1" applyAlignment="1">
      <alignment vertical="top" wrapText="1"/>
    </xf>
    <xf numFmtId="4" fontId="9" fillId="0" borderId="0" xfId="1" applyNumberFormat="1" applyFont="1" applyFill="1" applyBorder="1" applyAlignment="1">
      <alignment vertical="top" wrapText="1"/>
    </xf>
    <xf numFmtId="43" fontId="9" fillId="0" borderId="0" xfId="1" applyNumberFormat="1" applyFont="1" applyFill="1" applyBorder="1" applyAlignment="1">
      <alignment vertical="top" wrapText="1"/>
    </xf>
    <xf numFmtId="43" fontId="9" fillId="0" borderId="0" xfId="1" applyFont="1" applyFill="1" applyBorder="1" applyAlignment="1">
      <alignment vertical="top" wrapText="1"/>
    </xf>
    <xf numFmtId="43" fontId="0" fillId="0" borderId="0" xfId="1" applyNumberFormat="1" applyFont="1" applyFill="1" applyBorder="1" applyAlignment="1">
      <alignment vertical="top" wrapText="1"/>
    </xf>
    <xf numFmtId="0" fontId="15" fillId="0" borderId="0" xfId="0" applyFont="1" applyFill="1" applyAlignment="1">
      <alignment vertical="top" wrapText="1"/>
    </xf>
    <xf numFmtId="0" fontId="16" fillId="0" borderId="0" xfId="0" applyFont="1" applyFill="1" applyAlignment="1">
      <alignment vertical="top"/>
    </xf>
    <xf numFmtId="43" fontId="15" fillId="0" borderId="0" xfId="1" applyNumberFormat="1" applyFont="1" applyFill="1" applyAlignment="1">
      <alignment vertical="top" wrapText="1"/>
    </xf>
    <xf numFmtId="43" fontId="7" fillId="0" borderId="0" xfId="1" applyNumberFormat="1" applyFont="1" applyFill="1" applyAlignment="1">
      <alignment vertical="top" wrapText="1"/>
    </xf>
    <xf numFmtId="43" fontId="9" fillId="0" borderId="0" xfId="1" applyNumberFormat="1" applyFont="1" applyFill="1" applyAlignment="1">
      <alignment vertical="top" wrapText="1"/>
    </xf>
    <xf numFmtId="43" fontId="0" fillId="0" borderId="0" xfId="1" applyNumberFormat="1" applyFont="1" applyFill="1" applyAlignment="1">
      <alignment vertical="top" wrapText="1"/>
    </xf>
    <xf numFmtId="0" fontId="9" fillId="0" borderId="0" xfId="0" applyFont="1" applyFill="1" applyAlignment="1">
      <alignment vertical="top"/>
    </xf>
    <xf numFmtId="0" fontId="15" fillId="0" borderId="0" xfId="0" applyFont="1" applyFill="1" applyAlignment="1">
      <alignment horizontal="center" vertical="center" wrapText="1"/>
    </xf>
    <xf numFmtId="43" fontId="8" fillId="0" borderId="2" xfId="1" applyNumberFormat="1" applyFont="1" applyFill="1" applyBorder="1" applyAlignment="1">
      <alignment horizontal="center" vertical="center" wrapText="1"/>
    </xf>
    <xf numFmtId="43" fontId="8" fillId="0" borderId="15" xfId="1" applyNumberFormat="1" applyFont="1" applyFill="1" applyBorder="1" applyAlignment="1">
      <alignment horizontal="center" vertical="center" wrapText="1"/>
    </xf>
    <xf numFmtId="43" fontId="8" fillId="0" borderId="14" xfId="1"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43" fontId="3" fillId="0" borderId="2" xfId="1" applyNumberFormat="1" applyFont="1" applyFill="1" applyBorder="1" applyAlignment="1">
      <alignment horizontal="center" vertical="center" wrapText="1"/>
    </xf>
    <xf numFmtId="43" fontId="8" fillId="0" borderId="9" xfId="1" applyNumberFormat="1" applyFont="1" applyFill="1" applyBorder="1" applyAlignment="1">
      <alignment horizontal="center" vertical="center" wrapText="1"/>
    </xf>
    <xf numFmtId="43" fontId="3" fillId="0" borderId="14" xfId="1" applyNumberFormat="1" applyFont="1" applyFill="1" applyBorder="1" applyAlignment="1">
      <alignment horizontal="center" vertical="center" wrapText="1"/>
    </xf>
    <xf numFmtId="43" fontId="3" fillId="0" borderId="15" xfId="1"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6" fillId="0" borderId="0" xfId="0" applyFont="1" applyFill="1" applyAlignment="1">
      <alignment horizontal="left" vertical="top" wrapText="1"/>
    </xf>
    <xf numFmtId="0" fontId="8" fillId="0" borderId="2" xfId="0" applyFont="1" applyFill="1" applyBorder="1" applyAlignment="1">
      <alignment horizontal="center" vertical="center" wrapText="1"/>
    </xf>
    <xf numFmtId="43" fontId="8" fillId="0" borderId="2" xfId="1" applyNumberFormat="1" applyFont="1" applyFill="1" applyBorder="1" applyAlignment="1">
      <alignment horizontal="center" vertical="center" wrapText="1"/>
    </xf>
    <xf numFmtId="0" fontId="9" fillId="0" borderId="0" xfId="0" applyFont="1" applyFill="1" applyAlignment="1">
      <alignment horizontal="left" vertical="top" wrapText="1"/>
    </xf>
    <xf numFmtId="0" fontId="13" fillId="0" borderId="0" xfId="0" applyFont="1" applyFill="1" applyAlignment="1">
      <alignment horizontal="left" vertical="center" wrapText="1"/>
    </xf>
    <xf numFmtId="0" fontId="14" fillId="0" borderId="0" xfId="0" applyFont="1" applyFill="1" applyAlignment="1">
      <alignment horizontal="right" vertical="top" wrapText="1"/>
    </xf>
    <xf numFmtId="0" fontId="1" fillId="0" borderId="0" xfId="0" applyFont="1" applyFill="1" applyAlignment="1">
      <alignment horizontal="right" vertical="top" wrapText="1"/>
    </xf>
    <xf numFmtId="0" fontId="11" fillId="0" borderId="2" xfId="0" applyFont="1" applyFill="1" applyBorder="1" applyAlignment="1">
      <alignment horizontal="center" vertical="center" wrapText="1"/>
    </xf>
    <xf numFmtId="0" fontId="8" fillId="0" borderId="9" xfId="0" applyFont="1" applyFill="1" applyBorder="1" applyAlignment="1">
      <alignment horizontal="center" vertical="center" wrapText="1"/>
    </xf>
    <xf numFmtId="43" fontId="8" fillId="0" borderId="11" xfId="1" applyNumberFormat="1" applyFont="1" applyFill="1" applyBorder="1" applyAlignment="1">
      <alignment horizontal="center" vertical="center" wrapText="1"/>
    </xf>
    <xf numFmtId="43" fontId="8" fillId="0" borderId="12" xfId="1" applyNumberFormat="1" applyFont="1" applyFill="1" applyBorder="1" applyAlignment="1">
      <alignment horizontal="center" vertical="center" wrapText="1"/>
    </xf>
    <xf numFmtId="43" fontId="8" fillId="0" borderId="13" xfId="1" applyNumberFormat="1" applyFont="1" applyFill="1" applyBorder="1" applyAlignment="1">
      <alignment horizontal="center" vertical="center" wrapText="1"/>
    </xf>
    <xf numFmtId="43" fontId="3" fillId="0" borderId="19" xfId="1" applyNumberFormat="1" applyFont="1" applyFill="1" applyBorder="1" applyAlignment="1">
      <alignment horizontal="center" vertical="center" wrapText="1"/>
    </xf>
    <xf numFmtId="43" fontId="3" fillId="0" borderId="3" xfId="1" applyNumberFormat="1" applyFont="1" applyFill="1" applyBorder="1" applyAlignment="1">
      <alignment horizontal="center" vertical="center" wrapText="1"/>
    </xf>
    <xf numFmtId="43" fontId="3" fillId="0" borderId="2" xfId="1" applyNumberFormat="1" applyFont="1" applyFill="1" applyBorder="1" applyAlignment="1">
      <alignment horizontal="center" vertical="center" wrapText="1"/>
    </xf>
    <xf numFmtId="43" fontId="8" fillId="0" borderId="3" xfId="1" applyNumberFormat="1" applyFont="1" applyFill="1" applyBorder="1" applyAlignment="1">
      <alignment horizontal="center" vertical="center" wrapText="1"/>
    </xf>
    <xf numFmtId="43" fontId="8" fillId="0" borderId="14" xfId="1" applyNumberFormat="1" applyFont="1" applyFill="1" applyBorder="1" applyAlignment="1">
      <alignment horizontal="center" vertical="center" wrapText="1"/>
    </xf>
    <xf numFmtId="0" fontId="9" fillId="0" borderId="1" xfId="0" applyFont="1" applyFill="1" applyBorder="1" applyAlignment="1">
      <alignment horizontal="left" vertical="center"/>
    </xf>
    <xf numFmtId="43" fontId="3" fillId="0" borderId="15" xfId="1" applyNumberFormat="1" applyFont="1" applyFill="1" applyBorder="1" applyAlignment="1">
      <alignment horizontal="center" vertical="center" wrapText="1"/>
    </xf>
    <xf numFmtId="43" fontId="3" fillId="0" borderId="10" xfId="1" applyNumberFormat="1" applyFont="1" applyFill="1" applyBorder="1" applyAlignment="1">
      <alignment horizontal="center" vertical="center" wrapText="1"/>
    </xf>
    <xf numFmtId="43" fontId="8" fillId="0" borderId="15" xfId="1" applyNumberFormat="1" applyFont="1" applyFill="1" applyBorder="1" applyAlignment="1">
      <alignment horizontal="center" vertical="center" wrapText="1"/>
    </xf>
    <xf numFmtId="43" fontId="3" fillId="0" borderId="11" xfId="1" applyNumberFormat="1" applyFont="1" applyFill="1" applyBorder="1" applyAlignment="1">
      <alignment horizontal="center" vertical="center" wrapText="1"/>
    </xf>
    <xf numFmtId="43" fontId="3" fillId="0" borderId="12" xfId="1" applyNumberFormat="1" applyFont="1" applyFill="1" applyBorder="1" applyAlignment="1">
      <alignment horizontal="center" vertical="center" wrapText="1"/>
    </xf>
    <xf numFmtId="43" fontId="3" fillId="0" borderId="13" xfId="1" applyNumberFormat="1" applyFont="1" applyFill="1" applyBorder="1" applyAlignment="1">
      <alignment horizontal="center" vertical="center" wrapText="1"/>
    </xf>
    <xf numFmtId="43" fontId="3" fillId="0" borderId="14" xfId="1" applyNumberFormat="1" applyFont="1" applyFill="1" applyBorder="1" applyAlignment="1">
      <alignment horizontal="center" vertical="center" wrapText="1"/>
    </xf>
    <xf numFmtId="43" fontId="8" fillId="0" borderId="9" xfId="1" applyNumberFormat="1" applyFont="1" applyFill="1" applyBorder="1" applyAlignment="1">
      <alignment horizontal="center" vertical="center" wrapText="1"/>
    </xf>
    <xf numFmtId="43" fontId="8" fillId="0" borderId="10" xfId="1" applyNumberFormat="1" applyFont="1" applyFill="1" applyBorder="1" applyAlignment="1">
      <alignment horizontal="center" vertical="center" wrapText="1"/>
    </xf>
    <xf numFmtId="0" fontId="15" fillId="0" borderId="0" xfId="0" applyFont="1" applyFill="1" applyAlignment="1">
      <alignment horizontal="center" vertical="center" wrapText="1"/>
    </xf>
    <xf numFmtId="0" fontId="9" fillId="0" borderId="0" xfId="0" applyFont="1" applyFill="1" applyAlignment="1">
      <alignment horizontal="center" vertical="center" wrapText="1"/>
    </xf>
  </cellXfs>
  <cellStyles count="2">
    <cellStyle name="Обычный" xfId="0" builtinId="0"/>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12"/>
  <sheetViews>
    <sheetView tabSelected="1" view="pageBreakPreview" zoomScaleNormal="100" zoomScaleSheetLayoutView="100" workbookViewId="0">
      <selection activeCell="F13" sqref="F13"/>
    </sheetView>
  </sheetViews>
  <sheetFormatPr defaultRowHeight="12.75" x14ac:dyDescent="0.2"/>
  <cols>
    <col min="1" max="1" width="9.33203125" style="2" customWidth="1"/>
    <col min="2" max="2" width="43.1640625" style="2" customWidth="1"/>
    <col min="3" max="3" width="6.5" style="2" customWidth="1"/>
    <col min="4" max="4" width="29.1640625" style="2" customWidth="1"/>
    <col min="5" max="5" width="10" style="2" customWidth="1"/>
    <col min="6" max="6" width="9.5" style="2" customWidth="1"/>
    <col min="7" max="7" width="10" style="2" customWidth="1"/>
    <col min="8" max="10" width="9.33203125" style="2" customWidth="1"/>
    <col min="11" max="11" width="20.33203125" style="2" customWidth="1"/>
    <col min="12" max="13" width="10.6640625" style="2" customWidth="1"/>
    <col min="14" max="14" width="21" style="2" customWidth="1"/>
    <col min="15" max="15" width="9.33203125" style="2" customWidth="1"/>
    <col min="16" max="16" width="10.33203125" style="2" customWidth="1"/>
    <col min="17" max="23" width="9.33203125" style="2" customWidth="1"/>
    <col min="24" max="24" width="34.5" style="2" customWidth="1"/>
    <col min="25" max="26" width="9.33203125" style="2" customWidth="1"/>
    <col min="27" max="27" width="23.1640625" style="2" customWidth="1"/>
    <col min="28" max="29" width="9.33203125" style="2" customWidth="1"/>
    <col min="30" max="30" width="70.1640625" style="2" customWidth="1"/>
    <col min="31" max="33" width="9.33203125" style="2" customWidth="1"/>
    <col min="34" max="34" width="12.1640625" style="2"/>
    <col min="35" max="36" width="18.33203125" style="145" customWidth="1"/>
    <col min="37" max="37" width="15.33203125" style="145" customWidth="1"/>
    <col min="38" max="38" width="16.1640625" style="145" customWidth="1"/>
    <col min="39" max="40" width="13.83203125" style="145" customWidth="1"/>
    <col min="41" max="42" width="12.33203125" style="145" customWidth="1"/>
    <col min="43" max="45" width="13.83203125" style="145" customWidth="1"/>
    <col min="46" max="47" width="14.83203125" style="145" customWidth="1"/>
    <col min="48" max="48" width="12.33203125" style="145" customWidth="1"/>
    <col min="49" max="49" width="13.83203125" style="145" customWidth="1"/>
    <col min="50" max="50" width="13.6640625" style="145" customWidth="1"/>
    <col min="51" max="51" width="14.33203125" style="145" customWidth="1"/>
    <col min="52" max="52" width="13.83203125" style="145" customWidth="1"/>
    <col min="53" max="53" width="13.5" style="145" customWidth="1"/>
    <col min="54" max="55" width="13.83203125" style="145" customWidth="1"/>
    <col min="56" max="56" width="13.6640625" style="145" customWidth="1"/>
    <col min="57" max="57" width="14.5" style="145" customWidth="1"/>
    <col min="58" max="58" width="10.83203125" style="145" customWidth="1"/>
    <col min="59" max="60" width="13.5" style="145" customWidth="1"/>
    <col min="61" max="61" width="13.33203125" style="145" customWidth="1"/>
    <col min="62" max="62" width="13.83203125" style="145" customWidth="1"/>
    <col min="63" max="63" width="10.83203125" style="145" customWidth="1"/>
    <col min="64" max="64" width="13.83203125" style="145" customWidth="1"/>
    <col min="65" max="66" width="13.83203125" style="146" hidden="1" customWidth="1"/>
    <col min="67" max="68" width="11.83203125" style="146" hidden="1" customWidth="1"/>
    <col min="69" max="69" width="14.6640625" style="146" hidden="1" customWidth="1"/>
    <col min="70" max="70" width="13.33203125" style="146" hidden="1" customWidth="1"/>
    <col min="71" max="71" width="12" style="146" hidden="1" customWidth="1"/>
    <col min="72" max="72" width="12.1640625" style="146" hidden="1" customWidth="1"/>
    <col min="73" max="73" width="14.33203125" style="146" hidden="1" customWidth="1"/>
    <col min="74" max="75" width="13.83203125" style="146" hidden="1" customWidth="1"/>
    <col min="76" max="76" width="12.5" style="146" hidden="1" customWidth="1"/>
    <col min="77" max="77" width="14.33203125" style="146" hidden="1" customWidth="1"/>
    <col min="78" max="79" width="16.1640625" style="146" hidden="1" customWidth="1"/>
    <col min="80" max="80" width="13.83203125" style="146" hidden="1" customWidth="1"/>
    <col min="81" max="81" width="11.83203125" style="146" hidden="1" customWidth="1"/>
    <col min="82" max="82" width="16.33203125" style="146" hidden="1" customWidth="1"/>
    <col min="83" max="83" width="10.83203125" style="146" hidden="1" customWidth="1"/>
    <col min="84" max="84" width="13.83203125" style="146" hidden="1" customWidth="1"/>
    <col min="85" max="85" width="13.5" style="145" hidden="1" customWidth="1"/>
    <col min="86" max="86" width="11.6640625" style="145" hidden="1" customWidth="1"/>
    <col min="87" max="87" width="13.33203125" style="145" hidden="1" customWidth="1"/>
    <col min="88" max="88" width="9.6640625" style="145" hidden="1" customWidth="1"/>
    <col min="89" max="89" width="15.33203125" style="145" hidden="1" customWidth="1"/>
    <col min="90" max="90" width="13.5" style="145" hidden="1" customWidth="1"/>
    <col min="91" max="91" width="11.83203125" style="145" hidden="1" customWidth="1"/>
    <col min="92" max="92" width="16.33203125" style="145" hidden="1" customWidth="1"/>
    <col min="93" max="93" width="9.5" style="145" hidden="1" customWidth="1"/>
    <col min="94" max="94" width="15.83203125" style="145" hidden="1" customWidth="1"/>
    <col min="95" max="95" width="13.83203125" style="145" hidden="1" customWidth="1"/>
    <col min="96" max="96" width="11.83203125" style="145" hidden="1" customWidth="1"/>
    <col min="97" max="97" width="14.33203125" style="145" hidden="1" customWidth="1"/>
    <col min="98" max="98" width="12.33203125" style="145" hidden="1" customWidth="1"/>
    <col min="99" max="100" width="13.83203125" style="145" hidden="1" customWidth="1"/>
    <col min="101" max="101" width="13.1640625" style="145" hidden="1" customWidth="1"/>
    <col min="102" max="102" width="15.6640625" style="145" hidden="1" customWidth="1"/>
    <col min="103" max="103" width="10.5" style="145" hidden="1" customWidth="1"/>
    <col min="104" max="104" width="13.83203125" style="145" hidden="1" customWidth="1"/>
    <col min="105" max="105" width="15.5" style="145" hidden="1" customWidth="1"/>
    <col min="106" max="106" width="12.6640625" style="145" hidden="1" customWidth="1"/>
    <col min="107" max="107" width="13.83203125" style="145" hidden="1" customWidth="1"/>
    <col min="108" max="108" width="10.5" style="145" hidden="1" customWidth="1"/>
    <col min="109" max="109" width="14.6640625" style="145" hidden="1" customWidth="1"/>
    <col min="110" max="110" width="13.83203125" style="145" hidden="1" customWidth="1"/>
    <col min="111" max="111" width="12.33203125" style="145" hidden="1" customWidth="1"/>
    <col min="112" max="112" width="15.33203125" style="145" hidden="1" customWidth="1"/>
    <col min="113" max="113" width="12.33203125" style="145" hidden="1" customWidth="1"/>
    <col min="114" max="114" width="14.5" style="145" hidden="1" customWidth="1"/>
    <col min="115" max="115" width="13.83203125" style="145" hidden="1" customWidth="1"/>
    <col min="116" max="116" width="10.83203125" style="145" hidden="1" customWidth="1"/>
    <col min="117" max="117" width="16.83203125" style="145" hidden="1" customWidth="1"/>
    <col min="118" max="118" width="11.83203125" style="145" hidden="1" customWidth="1"/>
    <col min="119" max="119" width="15" style="145" hidden="1" customWidth="1"/>
    <col min="120" max="120" width="15.1640625" style="145" hidden="1" customWidth="1"/>
    <col min="121" max="121" width="10.83203125" style="145" hidden="1" customWidth="1"/>
    <col min="122" max="122" width="14.33203125" style="145" hidden="1" customWidth="1"/>
    <col min="123" max="123" width="10.6640625" style="145" hidden="1" customWidth="1"/>
    <col min="124" max="124" width="14.33203125" style="145" hidden="1" customWidth="1"/>
    <col min="125" max="125" width="9.33203125" style="2" hidden="1" customWidth="1"/>
    <col min="126" max="16384" width="9.33203125" style="2"/>
  </cols>
  <sheetData>
    <row r="1" spans="1:125" ht="15.75" x14ac:dyDescent="0.2">
      <c r="A1" s="162"/>
      <c r="B1" s="162"/>
      <c r="C1" s="1" t="s">
        <v>0</v>
      </c>
      <c r="D1" s="163" t="s">
        <v>0</v>
      </c>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5"/>
      <c r="BN1" s="165"/>
      <c r="BO1" s="165"/>
      <c r="BP1" s="165"/>
      <c r="BQ1" s="165"/>
      <c r="BR1" s="165"/>
      <c r="BS1" s="165"/>
      <c r="BT1" s="165"/>
      <c r="BU1" s="165"/>
      <c r="BV1" s="165"/>
      <c r="BW1" s="165"/>
      <c r="BX1" s="165"/>
      <c r="BY1" s="165"/>
      <c r="BZ1" s="165"/>
      <c r="CA1" s="165"/>
      <c r="CB1" s="165"/>
      <c r="CC1" s="165"/>
      <c r="CD1" s="165"/>
      <c r="CE1" s="165"/>
      <c r="CF1" s="165"/>
      <c r="CG1" s="164"/>
      <c r="CH1" s="164"/>
      <c r="CI1" s="164"/>
      <c r="CJ1" s="164"/>
      <c r="CK1" s="164"/>
      <c r="CL1" s="164"/>
      <c r="CM1" s="164"/>
      <c r="CN1" s="164"/>
      <c r="CO1" s="164"/>
      <c r="CP1" s="164"/>
      <c r="CQ1" s="164"/>
      <c r="CR1" s="164"/>
      <c r="CS1" s="164"/>
      <c r="CT1" s="164"/>
      <c r="CU1" s="164"/>
      <c r="CV1" s="164"/>
      <c r="CW1" s="164"/>
      <c r="CX1" s="164"/>
      <c r="CY1" s="164"/>
      <c r="CZ1" s="164"/>
      <c r="DA1" s="164"/>
      <c r="DB1" s="164"/>
      <c r="DC1" s="164"/>
      <c r="DD1" s="164"/>
      <c r="DE1" s="164"/>
      <c r="DF1" s="164"/>
      <c r="DG1" s="164"/>
      <c r="DH1" s="164"/>
      <c r="DI1" s="164"/>
      <c r="DJ1" s="164"/>
      <c r="DK1" s="164"/>
      <c r="DL1" s="164"/>
      <c r="DM1" s="164"/>
      <c r="DN1" s="164"/>
      <c r="DO1" s="164"/>
      <c r="DP1" s="164"/>
      <c r="DQ1" s="164"/>
      <c r="DR1" s="164"/>
      <c r="DS1" s="164"/>
      <c r="DT1" s="164"/>
      <c r="DU1" s="164"/>
    </row>
    <row r="2" spans="1:125" x14ac:dyDescent="0.2">
      <c r="A2" s="148" t="s">
        <v>0</v>
      </c>
      <c r="B2" s="186" t="s">
        <v>524</v>
      </c>
      <c r="C2" s="186"/>
      <c r="D2" s="186"/>
      <c r="E2" s="186"/>
      <c r="F2" s="186"/>
      <c r="G2" s="186"/>
      <c r="H2" s="186"/>
      <c r="I2" s="186"/>
      <c r="J2" s="186"/>
      <c r="K2" s="186"/>
      <c r="L2" s="186"/>
      <c r="M2" s="186"/>
      <c r="N2" s="186"/>
      <c r="O2" s="186"/>
      <c r="P2" s="186"/>
      <c r="Q2" s="186"/>
      <c r="R2" s="186"/>
      <c r="S2" s="186"/>
      <c r="T2" s="186"/>
      <c r="U2" s="3"/>
      <c r="V2" s="3"/>
      <c r="W2" s="3"/>
      <c r="X2" s="3"/>
      <c r="Y2" s="3"/>
      <c r="Z2" s="3"/>
      <c r="AA2" s="3"/>
      <c r="AB2" s="3"/>
      <c r="AC2" s="3"/>
      <c r="AD2" s="3"/>
      <c r="AE2" s="3"/>
      <c r="AF2" s="3"/>
      <c r="AG2" s="3"/>
      <c r="AH2" s="3"/>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5"/>
      <c r="BN2" s="5"/>
      <c r="BO2" s="5"/>
      <c r="BP2" s="5"/>
      <c r="BQ2" s="5"/>
      <c r="BR2" s="5"/>
      <c r="BS2" s="5"/>
      <c r="BT2" s="5"/>
      <c r="BU2" s="5"/>
      <c r="BV2" s="5"/>
      <c r="BW2" s="5"/>
      <c r="BX2" s="5"/>
      <c r="BY2" s="5"/>
      <c r="BZ2" s="5"/>
      <c r="CA2" s="5"/>
      <c r="CB2" s="5"/>
      <c r="CC2" s="5"/>
      <c r="CD2" s="5"/>
      <c r="CE2" s="5"/>
      <c r="CF2" s="5"/>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3"/>
    </row>
    <row r="3" spans="1:125" x14ac:dyDescent="0.2">
      <c r="A3" s="6" t="s">
        <v>0</v>
      </c>
      <c r="B3" s="187" t="s">
        <v>695</v>
      </c>
      <c r="C3" s="187"/>
      <c r="D3" s="187"/>
      <c r="E3" s="187"/>
      <c r="F3" s="187"/>
      <c r="G3" s="187"/>
      <c r="H3" s="187"/>
      <c r="I3" s="187"/>
      <c r="J3" s="187"/>
      <c r="K3" s="187"/>
      <c r="L3" s="187"/>
      <c r="M3" s="187"/>
      <c r="N3" s="187"/>
      <c r="O3" s="187"/>
      <c r="P3" s="187"/>
      <c r="Q3" s="187"/>
      <c r="R3" s="187"/>
      <c r="S3" s="187"/>
      <c r="T3" s="187"/>
      <c r="U3" s="7"/>
      <c r="V3" s="7"/>
      <c r="W3" s="7"/>
      <c r="X3" s="7"/>
      <c r="Y3" s="7"/>
      <c r="Z3" s="7"/>
      <c r="AA3" s="7"/>
      <c r="AB3" s="7"/>
      <c r="AC3" s="7"/>
      <c r="AD3" s="7"/>
      <c r="AE3" s="7"/>
      <c r="AF3" s="7"/>
      <c r="AG3" s="7"/>
      <c r="AH3" s="7"/>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9"/>
      <c r="BN3" s="9"/>
      <c r="BO3" s="9"/>
      <c r="BP3" s="9"/>
      <c r="BQ3" s="9"/>
      <c r="BR3" s="9"/>
      <c r="BS3" s="9"/>
      <c r="BT3" s="9"/>
      <c r="BU3" s="9"/>
      <c r="BV3" s="9"/>
      <c r="BW3" s="9"/>
      <c r="BX3" s="9"/>
      <c r="BY3" s="9"/>
      <c r="BZ3" s="9"/>
      <c r="CA3" s="9"/>
      <c r="CB3" s="9"/>
      <c r="CC3" s="9"/>
      <c r="CD3" s="9"/>
      <c r="CE3" s="9"/>
      <c r="CF3" s="9"/>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7"/>
    </row>
    <row r="4" spans="1:125" ht="16.5" thickBot="1" x14ac:dyDescent="0.25">
      <c r="A4" s="176" t="s">
        <v>525</v>
      </c>
      <c r="B4" s="176"/>
      <c r="C4" s="176"/>
      <c r="D4" s="10" t="s">
        <v>0</v>
      </c>
      <c r="E4" s="10" t="s">
        <v>0</v>
      </c>
      <c r="F4" s="10" t="s">
        <v>0</v>
      </c>
      <c r="G4" s="10" t="s">
        <v>0</v>
      </c>
      <c r="H4" s="10" t="s">
        <v>0</v>
      </c>
      <c r="I4" s="10" t="s">
        <v>0</v>
      </c>
      <c r="J4" s="10" t="s">
        <v>0</v>
      </c>
      <c r="K4" s="10" t="s">
        <v>0</v>
      </c>
      <c r="L4" s="10" t="s">
        <v>0</v>
      </c>
      <c r="M4" s="10" t="s">
        <v>0</v>
      </c>
      <c r="N4" s="10" t="s">
        <v>0</v>
      </c>
      <c r="O4" s="10" t="s">
        <v>0</v>
      </c>
      <c r="P4" s="10" t="s">
        <v>0</v>
      </c>
      <c r="Q4" s="10" t="s">
        <v>0</v>
      </c>
      <c r="R4" s="10" t="s">
        <v>0</v>
      </c>
      <c r="S4" s="10" t="s">
        <v>0</v>
      </c>
      <c r="T4" s="10" t="s">
        <v>0</v>
      </c>
      <c r="U4" s="10" t="s">
        <v>0</v>
      </c>
      <c r="V4" s="10" t="s">
        <v>0</v>
      </c>
      <c r="W4" s="10" t="s">
        <v>0</v>
      </c>
      <c r="X4" s="10" t="s">
        <v>0</v>
      </c>
      <c r="Y4" s="10" t="s">
        <v>0</v>
      </c>
      <c r="Z4" s="10" t="s">
        <v>0</v>
      </c>
      <c r="AA4" s="10" t="s">
        <v>0</v>
      </c>
      <c r="AB4" s="10" t="s">
        <v>0</v>
      </c>
      <c r="AC4" s="10" t="s">
        <v>0</v>
      </c>
      <c r="AD4" s="10"/>
      <c r="AE4" s="10"/>
      <c r="AF4" s="10"/>
      <c r="AG4" s="10" t="s">
        <v>0</v>
      </c>
      <c r="AH4" s="10" t="s">
        <v>0</v>
      </c>
      <c r="AI4" s="11" t="s">
        <v>0</v>
      </c>
      <c r="AJ4" s="11" t="s">
        <v>0</v>
      </c>
      <c r="AK4" s="11" t="s">
        <v>0</v>
      </c>
      <c r="AL4" s="11" t="s">
        <v>0</v>
      </c>
      <c r="AM4" s="11" t="s">
        <v>0</v>
      </c>
      <c r="AN4" s="11" t="s">
        <v>0</v>
      </c>
      <c r="AO4" s="11" t="s">
        <v>0</v>
      </c>
      <c r="AP4" s="11" t="s">
        <v>0</v>
      </c>
      <c r="AQ4" s="11" t="s">
        <v>0</v>
      </c>
      <c r="AR4" s="11" t="s">
        <v>0</v>
      </c>
      <c r="AS4" s="11" t="s">
        <v>0</v>
      </c>
      <c r="AT4" s="11" t="s">
        <v>0</v>
      </c>
      <c r="AU4" s="11" t="s">
        <v>0</v>
      </c>
      <c r="AV4" s="11" t="s">
        <v>0</v>
      </c>
      <c r="AW4" s="11" t="s">
        <v>0</v>
      </c>
      <c r="AX4" s="11" t="s">
        <v>0</v>
      </c>
      <c r="AY4" s="11" t="s">
        <v>0</v>
      </c>
      <c r="AZ4" s="11" t="s">
        <v>0</v>
      </c>
      <c r="BA4" s="11" t="s">
        <v>0</v>
      </c>
      <c r="BB4" s="11" t="s">
        <v>0</v>
      </c>
      <c r="BC4" s="11" t="s">
        <v>0</v>
      </c>
      <c r="BD4" s="11" t="s">
        <v>0</v>
      </c>
      <c r="BE4" s="11" t="s">
        <v>0</v>
      </c>
      <c r="BF4" s="11" t="s">
        <v>0</v>
      </c>
      <c r="BG4" s="11" t="s">
        <v>0</v>
      </c>
      <c r="BH4" s="11" t="s">
        <v>0</v>
      </c>
      <c r="BI4" s="11" t="s">
        <v>0</v>
      </c>
      <c r="BJ4" s="11" t="s">
        <v>0</v>
      </c>
      <c r="BK4" s="11" t="s">
        <v>0</v>
      </c>
      <c r="BL4" s="11" t="s">
        <v>0</v>
      </c>
      <c r="BM4" s="12" t="s">
        <v>0</v>
      </c>
      <c r="BN4" s="12" t="s">
        <v>0</v>
      </c>
      <c r="BO4" s="12" t="s">
        <v>0</v>
      </c>
      <c r="BP4" s="12" t="s">
        <v>0</v>
      </c>
      <c r="BQ4" s="12" t="s">
        <v>0</v>
      </c>
      <c r="BR4" s="12" t="s">
        <v>0</v>
      </c>
      <c r="BS4" s="12" t="s">
        <v>0</v>
      </c>
      <c r="BT4" s="12" t="s">
        <v>0</v>
      </c>
      <c r="BU4" s="12" t="s">
        <v>0</v>
      </c>
      <c r="BV4" s="12" t="s">
        <v>0</v>
      </c>
      <c r="BW4" s="12" t="s">
        <v>0</v>
      </c>
      <c r="BX4" s="12" t="s">
        <v>0</v>
      </c>
      <c r="BY4" s="12" t="s">
        <v>0</v>
      </c>
      <c r="BZ4" s="12" t="s">
        <v>0</v>
      </c>
      <c r="CA4" s="12" t="s">
        <v>0</v>
      </c>
      <c r="CB4" s="12" t="s">
        <v>0</v>
      </c>
      <c r="CC4" s="12" t="s">
        <v>0</v>
      </c>
      <c r="CD4" s="12" t="s">
        <v>0</v>
      </c>
      <c r="CE4" s="12" t="s">
        <v>0</v>
      </c>
      <c r="CF4" s="12" t="s">
        <v>0</v>
      </c>
      <c r="CG4" s="11" t="s">
        <v>0</v>
      </c>
      <c r="CH4" s="11" t="s">
        <v>0</v>
      </c>
      <c r="CI4" s="11" t="s">
        <v>0</v>
      </c>
      <c r="CJ4" s="11" t="s">
        <v>0</v>
      </c>
      <c r="CK4" s="11" t="s">
        <v>0</v>
      </c>
      <c r="CL4" s="11" t="s">
        <v>0</v>
      </c>
      <c r="CM4" s="11" t="s">
        <v>0</v>
      </c>
      <c r="CN4" s="11" t="s">
        <v>0</v>
      </c>
      <c r="CO4" s="11" t="s">
        <v>0</v>
      </c>
      <c r="CP4" s="11" t="s">
        <v>0</v>
      </c>
      <c r="CQ4" s="11" t="s">
        <v>0</v>
      </c>
      <c r="CR4" s="11" t="s">
        <v>0</v>
      </c>
      <c r="CS4" s="11" t="s">
        <v>0</v>
      </c>
      <c r="CT4" s="11" t="s">
        <v>0</v>
      </c>
      <c r="CU4" s="11" t="s">
        <v>0</v>
      </c>
      <c r="CV4" s="11" t="s">
        <v>0</v>
      </c>
      <c r="CW4" s="11" t="s">
        <v>0</v>
      </c>
      <c r="CX4" s="11" t="s">
        <v>0</v>
      </c>
      <c r="CY4" s="11" t="s">
        <v>0</v>
      </c>
      <c r="CZ4" s="11" t="s">
        <v>0</v>
      </c>
      <c r="DA4" s="11" t="s">
        <v>0</v>
      </c>
      <c r="DB4" s="11" t="s">
        <v>0</v>
      </c>
      <c r="DC4" s="11" t="s">
        <v>0</v>
      </c>
      <c r="DD4" s="11" t="s">
        <v>0</v>
      </c>
      <c r="DE4" s="11" t="s">
        <v>0</v>
      </c>
      <c r="DF4" s="11" t="s">
        <v>0</v>
      </c>
      <c r="DG4" s="11" t="s">
        <v>0</v>
      </c>
      <c r="DH4" s="11" t="s">
        <v>0</v>
      </c>
      <c r="DI4" s="11" t="s">
        <v>0</v>
      </c>
      <c r="DJ4" s="11" t="s">
        <v>0</v>
      </c>
      <c r="DK4" s="11" t="s">
        <v>0</v>
      </c>
      <c r="DL4" s="11" t="s">
        <v>0</v>
      </c>
      <c r="DM4" s="11" t="s">
        <v>0</v>
      </c>
      <c r="DN4" s="11" t="s">
        <v>0</v>
      </c>
      <c r="DO4" s="11" t="s">
        <v>0</v>
      </c>
      <c r="DP4" s="11" t="s">
        <v>0</v>
      </c>
      <c r="DQ4" s="11" t="s">
        <v>0</v>
      </c>
      <c r="DR4" s="11" t="s">
        <v>0</v>
      </c>
      <c r="DS4" s="11" t="s">
        <v>0</v>
      </c>
      <c r="DT4" s="11" t="s">
        <v>0</v>
      </c>
      <c r="DU4" s="1" t="s">
        <v>0</v>
      </c>
    </row>
    <row r="5" spans="1:125" ht="13.5" thickBot="1" x14ac:dyDescent="0.25">
      <c r="A5" s="160" t="s">
        <v>0</v>
      </c>
      <c r="B5" s="160" t="s">
        <v>1</v>
      </c>
      <c r="C5" s="160" t="s">
        <v>2</v>
      </c>
      <c r="D5" s="160" t="s">
        <v>3</v>
      </c>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52"/>
      <c r="AE5" s="152"/>
      <c r="AF5" s="152"/>
      <c r="AG5" s="160" t="s">
        <v>4</v>
      </c>
      <c r="AH5" s="167" t="s">
        <v>5</v>
      </c>
      <c r="AI5" s="168" t="s">
        <v>6</v>
      </c>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70"/>
      <c r="BM5" s="171" t="s">
        <v>7</v>
      </c>
      <c r="BN5" s="172"/>
      <c r="BO5" s="172"/>
      <c r="BP5" s="172"/>
      <c r="BQ5" s="172"/>
      <c r="BR5" s="172"/>
      <c r="BS5" s="172"/>
      <c r="BT5" s="172"/>
      <c r="BU5" s="172"/>
      <c r="BV5" s="172"/>
      <c r="BW5" s="173"/>
      <c r="BX5" s="173"/>
      <c r="BY5" s="173"/>
      <c r="BZ5" s="173"/>
      <c r="CA5" s="173"/>
      <c r="CB5" s="173"/>
      <c r="CC5" s="173"/>
      <c r="CD5" s="173"/>
      <c r="CE5" s="173"/>
      <c r="CF5" s="173"/>
      <c r="CG5" s="161"/>
      <c r="CH5" s="161"/>
      <c r="CI5" s="161"/>
      <c r="CJ5" s="161"/>
      <c r="CK5" s="161"/>
      <c r="CL5" s="161"/>
      <c r="CM5" s="161"/>
      <c r="CN5" s="161"/>
      <c r="CO5" s="161"/>
      <c r="CP5" s="161"/>
      <c r="CQ5" s="174" t="s">
        <v>8</v>
      </c>
      <c r="CR5" s="174"/>
      <c r="CS5" s="174"/>
      <c r="CT5" s="174"/>
      <c r="CU5" s="174"/>
      <c r="CV5" s="174"/>
      <c r="CW5" s="174"/>
      <c r="CX5" s="174"/>
      <c r="CY5" s="174"/>
      <c r="CZ5" s="174"/>
      <c r="DA5" s="174"/>
      <c r="DB5" s="174"/>
      <c r="DC5" s="174"/>
      <c r="DD5" s="174"/>
      <c r="DE5" s="174"/>
      <c r="DF5" s="174" t="s">
        <v>9</v>
      </c>
      <c r="DG5" s="174"/>
      <c r="DH5" s="174"/>
      <c r="DI5" s="174"/>
      <c r="DJ5" s="174"/>
      <c r="DK5" s="161"/>
      <c r="DL5" s="161"/>
      <c r="DM5" s="161"/>
      <c r="DN5" s="161"/>
      <c r="DO5" s="161"/>
      <c r="DP5" s="161"/>
      <c r="DQ5" s="161"/>
      <c r="DR5" s="161"/>
      <c r="DS5" s="161"/>
      <c r="DT5" s="161"/>
      <c r="DU5" s="160" t="s">
        <v>10</v>
      </c>
    </row>
    <row r="6" spans="1:125" x14ac:dyDescent="0.2">
      <c r="A6" s="166" t="s">
        <v>0</v>
      </c>
      <c r="B6" s="166" t="s">
        <v>0</v>
      </c>
      <c r="C6" s="166" t="s">
        <v>0</v>
      </c>
      <c r="D6" s="160" t="s">
        <v>11</v>
      </c>
      <c r="E6" s="160"/>
      <c r="F6" s="160"/>
      <c r="G6" s="160"/>
      <c r="H6" s="160"/>
      <c r="I6" s="160"/>
      <c r="J6" s="160"/>
      <c r="K6" s="160"/>
      <c r="L6" s="160"/>
      <c r="M6" s="160"/>
      <c r="N6" s="160"/>
      <c r="O6" s="160"/>
      <c r="P6" s="160"/>
      <c r="Q6" s="160"/>
      <c r="R6" s="160"/>
      <c r="S6" s="160"/>
      <c r="T6" s="160"/>
      <c r="U6" s="160"/>
      <c r="V6" s="160"/>
      <c r="W6" s="160"/>
      <c r="X6" s="160" t="s">
        <v>12</v>
      </c>
      <c r="Y6" s="160"/>
      <c r="Z6" s="160"/>
      <c r="AA6" s="160"/>
      <c r="AB6" s="160"/>
      <c r="AC6" s="160"/>
      <c r="AD6" s="160" t="s">
        <v>392</v>
      </c>
      <c r="AE6" s="160"/>
      <c r="AF6" s="160"/>
      <c r="AG6" s="160" t="s">
        <v>0</v>
      </c>
      <c r="AH6" s="167" t="s">
        <v>0</v>
      </c>
      <c r="AI6" s="175" t="s">
        <v>468</v>
      </c>
      <c r="AJ6" s="161"/>
      <c r="AK6" s="161"/>
      <c r="AL6" s="161"/>
      <c r="AM6" s="161"/>
      <c r="AN6" s="161"/>
      <c r="AO6" s="161"/>
      <c r="AP6" s="161"/>
      <c r="AQ6" s="161"/>
      <c r="AR6" s="161"/>
      <c r="AS6" s="161" t="s">
        <v>475</v>
      </c>
      <c r="AT6" s="161"/>
      <c r="AU6" s="161"/>
      <c r="AV6" s="161"/>
      <c r="AW6" s="161"/>
      <c r="AX6" s="161" t="s">
        <v>476</v>
      </c>
      <c r="AY6" s="161"/>
      <c r="AZ6" s="161"/>
      <c r="BA6" s="161"/>
      <c r="BB6" s="161"/>
      <c r="BC6" s="161" t="s">
        <v>13</v>
      </c>
      <c r="BD6" s="161"/>
      <c r="BE6" s="161"/>
      <c r="BF6" s="161"/>
      <c r="BG6" s="161"/>
      <c r="BH6" s="161"/>
      <c r="BI6" s="161"/>
      <c r="BJ6" s="161"/>
      <c r="BK6" s="161"/>
      <c r="BL6" s="179"/>
      <c r="BM6" s="180" t="s">
        <v>468</v>
      </c>
      <c r="BN6" s="181"/>
      <c r="BO6" s="181"/>
      <c r="BP6" s="181"/>
      <c r="BQ6" s="181"/>
      <c r="BR6" s="181"/>
      <c r="BS6" s="181"/>
      <c r="BT6" s="181"/>
      <c r="BU6" s="181"/>
      <c r="BV6" s="182"/>
      <c r="BW6" s="178" t="s">
        <v>475</v>
      </c>
      <c r="BX6" s="173"/>
      <c r="BY6" s="173"/>
      <c r="BZ6" s="173"/>
      <c r="CA6" s="173"/>
      <c r="CB6" s="173" t="s">
        <v>476</v>
      </c>
      <c r="CC6" s="173"/>
      <c r="CD6" s="173"/>
      <c r="CE6" s="173"/>
      <c r="CF6" s="173"/>
      <c r="CG6" s="161" t="s">
        <v>13</v>
      </c>
      <c r="CH6" s="161"/>
      <c r="CI6" s="161"/>
      <c r="CJ6" s="161"/>
      <c r="CK6" s="161"/>
      <c r="CL6" s="161"/>
      <c r="CM6" s="161"/>
      <c r="CN6" s="161"/>
      <c r="CO6" s="161"/>
      <c r="CP6" s="184"/>
      <c r="CQ6" s="168" t="s">
        <v>468</v>
      </c>
      <c r="CR6" s="169"/>
      <c r="CS6" s="169"/>
      <c r="CT6" s="169"/>
      <c r="CU6" s="170"/>
      <c r="CV6" s="168" t="s">
        <v>475</v>
      </c>
      <c r="CW6" s="169"/>
      <c r="CX6" s="169"/>
      <c r="CY6" s="169"/>
      <c r="CZ6" s="170"/>
      <c r="DA6" s="168" t="s">
        <v>476</v>
      </c>
      <c r="DB6" s="169"/>
      <c r="DC6" s="169"/>
      <c r="DD6" s="169"/>
      <c r="DE6" s="170"/>
      <c r="DF6" s="168" t="s">
        <v>468</v>
      </c>
      <c r="DG6" s="169"/>
      <c r="DH6" s="169"/>
      <c r="DI6" s="169"/>
      <c r="DJ6" s="170"/>
      <c r="DK6" s="185" t="s">
        <v>475</v>
      </c>
      <c r="DL6" s="161"/>
      <c r="DM6" s="161"/>
      <c r="DN6" s="161"/>
      <c r="DO6" s="161"/>
      <c r="DP6" s="161" t="s">
        <v>476</v>
      </c>
      <c r="DQ6" s="161"/>
      <c r="DR6" s="161"/>
      <c r="DS6" s="161"/>
      <c r="DT6" s="161"/>
      <c r="DU6" s="160" t="s">
        <v>0</v>
      </c>
    </row>
    <row r="7" spans="1:125" x14ac:dyDescent="0.2">
      <c r="A7" s="166" t="s">
        <v>0</v>
      </c>
      <c r="B7" s="166" t="s">
        <v>0</v>
      </c>
      <c r="C7" s="166" t="s">
        <v>0</v>
      </c>
      <c r="D7" s="160" t="s">
        <v>0</v>
      </c>
      <c r="E7" s="160"/>
      <c r="F7" s="160"/>
      <c r="G7" s="160"/>
      <c r="H7" s="160"/>
      <c r="I7" s="160"/>
      <c r="J7" s="160"/>
      <c r="K7" s="160"/>
      <c r="L7" s="160"/>
      <c r="M7" s="160"/>
      <c r="N7" s="160"/>
      <c r="O7" s="160"/>
      <c r="P7" s="160"/>
      <c r="Q7" s="160"/>
      <c r="R7" s="160"/>
      <c r="S7" s="160"/>
      <c r="T7" s="160"/>
      <c r="U7" s="160"/>
      <c r="V7" s="160"/>
      <c r="W7" s="160"/>
      <c r="X7" s="160" t="s">
        <v>0</v>
      </c>
      <c r="Y7" s="160"/>
      <c r="Z7" s="160"/>
      <c r="AA7" s="160"/>
      <c r="AB7" s="160"/>
      <c r="AC7" s="160"/>
      <c r="AD7" s="160" t="s">
        <v>0</v>
      </c>
      <c r="AE7" s="160" t="s">
        <v>0</v>
      </c>
      <c r="AF7" s="160" t="s">
        <v>0</v>
      </c>
      <c r="AG7" s="160" t="s">
        <v>0</v>
      </c>
      <c r="AH7" s="167" t="s">
        <v>0</v>
      </c>
      <c r="AI7" s="175" t="s">
        <v>0</v>
      </c>
      <c r="AJ7" s="161"/>
      <c r="AK7" s="161"/>
      <c r="AL7" s="161"/>
      <c r="AM7" s="161"/>
      <c r="AN7" s="161"/>
      <c r="AO7" s="161"/>
      <c r="AP7" s="161"/>
      <c r="AQ7" s="161"/>
      <c r="AR7" s="161"/>
      <c r="AS7" s="161" t="s">
        <v>0</v>
      </c>
      <c r="AT7" s="161" t="s">
        <v>0</v>
      </c>
      <c r="AU7" s="161" t="s">
        <v>0</v>
      </c>
      <c r="AV7" s="161" t="s">
        <v>0</v>
      </c>
      <c r="AW7" s="161" t="s">
        <v>0</v>
      </c>
      <c r="AX7" s="161" t="s">
        <v>0</v>
      </c>
      <c r="AY7" s="161" t="s">
        <v>0</v>
      </c>
      <c r="AZ7" s="161" t="s">
        <v>0</v>
      </c>
      <c r="BA7" s="161" t="s">
        <v>0</v>
      </c>
      <c r="BB7" s="161" t="s">
        <v>0</v>
      </c>
      <c r="BC7" s="161" t="s">
        <v>0</v>
      </c>
      <c r="BD7" s="161"/>
      <c r="BE7" s="161"/>
      <c r="BF7" s="161"/>
      <c r="BG7" s="161"/>
      <c r="BH7" s="161"/>
      <c r="BI7" s="161"/>
      <c r="BJ7" s="161"/>
      <c r="BK7" s="161"/>
      <c r="BL7" s="179"/>
      <c r="BM7" s="183" t="s">
        <v>0</v>
      </c>
      <c r="BN7" s="173"/>
      <c r="BO7" s="173"/>
      <c r="BP7" s="173"/>
      <c r="BQ7" s="173"/>
      <c r="BR7" s="173"/>
      <c r="BS7" s="173"/>
      <c r="BT7" s="173"/>
      <c r="BU7" s="173"/>
      <c r="BV7" s="177"/>
      <c r="BW7" s="178" t="s">
        <v>0</v>
      </c>
      <c r="BX7" s="173" t="s">
        <v>0</v>
      </c>
      <c r="BY7" s="173" t="s">
        <v>0</v>
      </c>
      <c r="BZ7" s="173" t="s">
        <v>0</v>
      </c>
      <c r="CA7" s="173" t="s">
        <v>0</v>
      </c>
      <c r="CB7" s="173" t="s">
        <v>0</v>
      </c>
      <c r="CC7" s="173" t="s">
        <v>0</v>
      </c>
      <c r="CD7" s="173" t="s">
        <v>0</v>
      </c>
      <c r="CE7" s="173" t="s">
        <v>0</v>
      </c>
      <c r="CF7" s="173" t="s">
        <v>0</v>
      </c>
      <c r="CG7" s="161" t="s">
        <v>0</v>
      </c>
      <c r="CH7" s="161"/>
      <c r="CI7" s="161"/>
      <c r="CJ7" s="161"/>
      <c r="CK7" s="161"/>
      <c r="CL7" s="161"/>
      <c r="CM7" s="161"/>
      <c r="CN7" s="161"/>
      <c r="CO7" s="161"/>
      <c r="CP7" s="184"/>
      <c r="CQ7" s="175" t="s">
        <v>0</v>
      </c>
      <c r="CR7" s="161" t="s">
        <v>0</v>
      </c>
      <c r="CS7" s="161" t="s">
        <v>0</v>
      </c>
      <c r="CT7" s="161" t="s">
        <v>0</v>
      </c>
      <c r="CU7" s="179" t="s">
        <v>0</v>
      </c>
      <c r="CV7" s="175" t="s">
        <v>0</v>
      </c>
      <c r="CW7" s="161" t="s">
        <v>0</v>
      </c>
      <c r="CX7" s="161" t="s">
        <v>0</v>
      </c>
      <c r="CY7" s="161" t="s">
        <v>0</v>
      </c>
      <c r="CZ7" s="179" t="s">
        <v>0</v>
      </c>
      <c r="DA7" s="175" t="s">
        <v>0</v>
      </c>
      <c r="DB7" s="161" t="s">
        <v>0</v>
      </c>
      <c r="DC7" s="161" t="s">
        <v>0</v>
      </c>
      <c r="DD7" s="161" t="s">
        <v>0</v>
      </c>
      <c r="DE7" s="179" t="s">
        <v>0</v>
      </c>
      <c r="DF7" s="175" t="s">
        <v>0</v>
      </c>
      <c r="DG7" s="161" t="s">
        <v>0</v>
      </c>
      <c r="DH7" s="161" t="s">
        <v>0</v>
      </c>
      <c r="DI7" s="161" t="s">
        <v>0</v>
      </c>
      <c r="DJ7" s="179" t="s">
        <v>0</v>
      </c>
      <c r="DK7" s="185" t="s">
        <v>0</v>
      </c>
      <c r="DL7" s="161" t="s">
        <v>0</v>
      </c>
      <c r="DM7" s="161" t="s">
        <v>0</v>
      </c>
      <c r="DN7" s="161" t="s">
        <v>0</v>
      </c>
      <c r="DO7" s="161" t="s">
        <v>0</v>
      </c>
      <c r="DP7" s="161" t="s">
        <v>0</v>
      </c>
      <c r="DQ7" s="161" t="s">
        <v>0</v>
      </c>
      <c r="DR7" s="161" t="s">
        <v>0</v>
      </c>
      <c r="DS7" s="161" t="s">
        <v>0</v>
      </c>
      <c r="DT7" s="161" t="s">
        <v>0</v>
      </c>
      <c r="DU7" s="160" t="s">
        <v>0</v>
      </c>
    </row>
    <row r="8" spans="1:125" ht="23.25" customHeight="1" x14ac:dyDescent="0.2">
      <c r="A8" s="166" t="s">
        <v>0</v>
      </c>
      <c r="B8" s="166" t="s">
        <v>0</v>
      </c>
      <c r="C8" s="166" t="s">
        <v>0</v>
      </c>
      <c r="D8" s="160" t="s">
        <v>14</v>
      </c>
      <c r="E8" s="160"/>
      <c r="F8" s="160"/>
      <c r="G8" s="160" t="s">
        <v>15</v>
      </c>
      <c r="H8" s="160"/>
      <c r="I8" s="160"/>
      <c r="J8" s="160"/>
      <c r="K8" s="160" t="s">
        <v>16</v>
      </c>
      <c r="L8" s="160"/>
      <c r="M8" s="160"/>
      <c r="N8" s="160" t="s">
        <v>17</v>
      </c>
      <c r="O8" s="160"/>
      <c r="P8" s="160"/>
      <c r="Q8" s="160"/>
      <c r="R8" s="160" t="s">
        <v>18</v>
      </c>
      <c r="S8" s="160"/>
      <c r="T8" s="160"/>
      <c r="U8" s="160" t="s">
        <v>19</v>
      </c>
      <c r="V8" s="160"/>
      <c r="W8" s="160"/>
      <c r="X8" s="160" t="s">
        <v>20</v>
      </c>
      <c r="Y8" s="160"/>
      <c r="Z8" s="160"/>
      <c r="AA8" s="160" t="s">
        <v>21</v>
      </c>
      <c r="AB8" s="160"/>
      <c r="AC8" s="160"/>
      <c r="AD8" s="160" t="s">
        <v>0</v>
      </c>
      <c r="AE8" s="160"/>
      <c r="AF8" s="160"/>
      <c r="AG8" s="160" t="s">
        <v>0</v>
      </c>
      <c r="AH8" s="167" t="s">
        <v>0</v>
      </c>
      <c r="AI8" s="175" t="s">
        <v>22</v>
      </c>
      <c r="AJ8" s="161"/>
      <c r="AK8" s="161" t="s">
        <v>23</v>
      </c>
      <c r="AL8" s="161"/>
      <c r="AM8" s="161" t="s">
        <v>24</v>
      </c>
      <c r="AN8" s="161"/>
      <c r="AO8" s="161" t="s">
        <v>25</v>
      </c>
      <c r="AP8" s="161"/>
      <c r="AQ8" s="161" t="s">
        <v>26</v>
      </c>
      <c r="AR8" s="161"/>
      <c r="AS8" s="161" t="s">
        <v>27</v>
      </c>
      <c r="AT8" s="161" t="s">
        <v>23</v>
      </c>
      <c r="AU8" s="161" t="s">
        <v>24</v>
      </c>
      <c r="AV8" s="161" t="s">
        <v>25</v>
      </c>
      <c r="AW8" s="161" t="s">
        <v>26</v>
      </c>
      <c r="AX8" s="161" t="s">
        <v>27</v>
      </c>
      <c r="AY8" s="161" t="s">
        <v>23</v>
      </c>
      <c r="AZ8" s="161" t="s">
        <v>24</v>
      </c>
      <c r="BA8" s="161" t="s">
        <v>25</v>
      </c>
      <c r="BB8" s="161" t="s">
        <v>26</v>
      </c>
      <c r="BC8" s="161" t="s">
        <v>27</v>
      </c>
      <c r="BD8" s="161" t="s">
        <v>28</v>
      </c>
      <c r="BE8" s="161"/>
      <c r="BF8" s="161"/>
      <c r="BG8" s="161"/>
      <c r="BH8" s="161" t="s">
        <v>27</v>
      </c>
      <c r="BI8" s="161" t="s">
        <v>29</v>
      </c>
      <c r="BJ8" s="161"/>
      <c r="BK8" s="161"/>
      <c r="BL8" s="179"/>
      <c r="BM8" s="183" t="s">
        <v>27</v>
      </c>
      <c r="BN8" s="173"/>
      <c r="BO8" s="173" t="s">
        <v>23</v>
      </c>
      <c r="BP8" s="173"/>
      <c r="BQ8" s="173" t="s">
        <v>24</v>
      </c>
      <c r="BR8" s="173"/>
      <c r="BS8" s="173" t="s">
        <v>25</v>
      </c>
      <c r="BT8" s="173"/>
      <c r="BU8" s="173" t="s">
        <v>26</v>
      </c>
      <c r="BV8" s="177"/>
      <c r="BW8" s="178" t="s">
        <v>27</v>
      </c>
      <c r="BX8" s="173" t="s">
        <v>23</v>
      </c>
      <c r="BY8" s="173" t="s">
        <v>24</v>
      </c>
      <c r="BZ8" s="173" t="s">
        <v>25</v>
      </c>
      <c r="CA8" s="173" t="s">
        <v>26</v>
      </c>
      <c r="CB8" s="173" t="s">
        <v>27</v>
      </c>
      <c r="CC8" s="173" t="s">
        <v>23</v>
      </c>
      <c r="CD8" s="173" t="s">
        <v>24</v>
      </c>
      <c r="CE8" s="173" t="s">
        <v>25</v>
      </c>
      <c r="CF8" s="173" t="s">
        <v>26</v>
      </c>
      <c r="CG8" s="161" t="s">
        <v>27</v>
      </c>
      <c r="CH8" s="161" t="s">
        <v>30</v>
      </c>
      <c r="CI8" s="161"/>
      <c r="CJ8" s="161"/>
      <c r="CK8" s="161"/>
      <c r="CL8" s="161" t="s">
        <v>27</v>
      </c>
      <c r="CM8" s="161" t="s">
        <v>31</v>
      </c>
      <c r="CN8" s="161"/>
      <c r="CO8" s="161"/>
      <c r="CP8" s="184"/>
      <c r="CQ8" s="175" t="s">
        <v>27</v>
      </c>
      <c r="CR8" s="161" t="s">
        <v>23</v>
      </c>
      <c r="CS8" s="161" t="s">
        <v>24</v>
      </c>
      <c r="CT8" s="161" t="s">
        <v>25</v>
      </c>
      <c r="CU8" s="179" t="s">
        <v>26</v>
      </c>
      <c r="CV8" s="175" t="s">
        <v>27</v>
      </c>
      <c r="CW8" s="161" t="s">
        <v>23</v>
      </c>
      <c r="CX8" s="161" t="s">
        <v>24</v>
      </c>
      <c r="CY8" s="161" t="s">
        <v>25</v>
      </c>
      <c r="CZ8" s="179" t="s">
        <v>26</v>
      </c>
      <c r="DA8" s="175" t="s">
        <v>27</v>
      </c>
      <c r="DB8" s="161" t="s">
        <v>23</v>
      </c>
      <c r="DC8" s="161" t="s">
        <v>24</v>
      </c>
      <c r="DD8" s="161" t="s">
        <v>25</v>
      </c>
      <c r="DE8" s="179" t="s">
        <v>26</v>
      </c>
      <c r="DF8" s="175" t="s">
        <v>27</v>
      </c>
      <c r="DG8" s="161" t="s">
        <v>23</v>
      </c>
      <c r="DH8" s="161" t="s">
        <v>24</v>
      </c>
      <c r="DI8" s="161" t="s">
        <v>25</v>
      </c>
      <c r="DJ8" s="179" t="s">
        <v>26</v>
      </c>
      <c r="DK8" s="185" t="s">
        <v>27</v>
      </c>
      <c r="DL8" s="161" t="s">
        <v>23</v>
      </c>
      <c r="DM8" s="161" t="s">
        <v>24</v>
      </c>
      <c r="DN8" s="161" t="s">
        <v>25</v>
      </c>
      <c r="DO8" s="161" t="s">
        <v>26</v>
      </c>
      <c r="DP8" s="161" t="s">
        <v>27</v>
      </c>
      <c r="DQ8" s="161" t="s">
        <v>23</v>
      </c>
      <c r="DR8" s="161" t="s">
        <v>24</v>
      </c>
      <c r="DS8" s="161" t="s">
        <v>25</v>
      </c>
      <c r="DT8" s="161" t="s">
        <v>26</v>
      </c>
      <c r="DU8" s="160" t="s">
        <v>0</v>
      </c>
    </row>
    <row r="9" spans="1:125" ht="112.5" x14ac:dyDescent="0.2">
      <c r="A9" s="157" t="s">
        <v>0</v>
      </c>
      <c r="B9" s="157" t="s">
        <v>0</v>
      </c>
      <c r="C9" s="157" t="s">
        <v>0</v>
      </c>
      <c r="D9" s="152" t="s">
        <v>32</v>
      </c>
      <c r="E9" s="152" t="s">
        <v>33</v>
      </c>
      <c r="F9" s="152" t="s">
        <v>34</v>
      </c>
      <c r="G9" s="152" t="s">
        <v>32</v>
      </c>
      <c r="H9" s="152" t="s">
        <v>33</v>
      </c>
      <c r="I9" s="152" t="s">
        <v>34</v>
      </c>
      <c r="J9" s="152" t="s">
        <v>35</v>
      </c>
      <c r="K9" s="152" t="s">
        <v>36</v>
      </c>
      <c r="L9" s="152" t="s">
        <v>33</v>
      </c>
      <c r="M9" s="152" t="s">
        <v>34</v>
      </c>
      <c r="N9" s="152" t="s">
        <v>36</v>
      </c>
      <c r="O9" s="152" t="s">
        <v>33</v>
      </c>
      <c r="P9" s="152" t="s">
        <v>34</v>
      </c>
      <c r="Q9" s="152" t="s">
        <v>35</v>
      </c>
      <c r="R9" s="152" t="s">
        <v>36</v>
      </c>
      <c r="S9" s="152" t="s">
        <v>33</v>
      </c>
      <c r="T9" s="152" t="s">
        <v>34</v>
      </c>
      <c r="U9" s="152" t="s">
        <v>36</v>
      </c>
      <c r="V9" s="152" t="s">
        <v>33</v>
      </c>
      <c r="W9" s="152" t="s">
        <v>34</v>
      </c>
      <c r="X9" s="152" t="s">
        <v>32</v>
      </c>
      <c r="Y9" s="152" t="s">
        <v>33</v>
      </c>
      <c r="Z9" s="152" t="s">
        <v>34</v>
      </c>
      <c r="AA9" s="152" t="s">
        <v>32</v>
      </c>
      <c r="AB9" s="152" t="s">
        <v>33</v>
      </c>
      <c r="AC9" s="152" t="s">
        <v>34</v>
      </c>
      <c r="AD9" s="152" t="s">
        <v>32</v>
      </c>
      <c r="AE9" s="152" t="s">
        <v>33</v>
      </c>
      <c r="AF9" s="152" t="s">
        <v>34</v>
      </c>
      <c r="AG9" s="160" t="s">
        <v>0</v>
      </c>
      <c r="AH9" s="158" t="s">
        <v>37</v>
      </c>
      <c r="AI9" s="151" t="s">
        <v>38</v>
      </c>
      <c r="AJ9" s="149" t="s">
        <v>39</v>
      </c>
      <c r="AK9" s="149" t="s">
        <v>38</v>
      </c>
      <c r="AL9" s="149" t="s">
        <v>39</v>
      </c>
      <c r="AM9" s="149" t="s">
        <v>38</v>
      </c>
      <c r="AN9" s="149" t="s">
        <v>39</v>
      </c>
      <c r="AO9" s="149" t="s">
        <v>38</v>
      </c>
      <c r="AP9" s="149" t="s">
        <v>39</v>
      </c>
      <c r="AQ9" s="149" t="s">
        <v>38</v>
      </c>
      <c r="AR9" s="149" t="s">
        <v>39</v>
      </c>
      <c r="AS9" s="161" t="s">
        <v>0</v>
      </c>
      <c r="AT9" s="161" t="s">
        <v>0</v>
      </c>
      <c r="AU9" s="161" t="s">
        <v>0</v>
      </c>
      <c r="AV9" s="161" t="s">
        <v>0</v>
      </c>
      <c r="AW9" s="161" t="s">
        <v>0</v>
      </c>
      <c r="AX9" s="161" t="s">
        <v>40</v>
      </c>
      <c r="AY9" s="161" t="s">
        <v>41</v>
      </c>
      <c r="AZ9" s="161" t="s">
        <v>42</v>
      </c>
      <c r="BA9" s="161" t="s">
        <v>0</v>
      </c>
      <c r="BB9" s="161" t="s">
        <v>43</v>
      </c>
      <c r="BC9" s="161" t="s">
        <v>0</v>
      </c>
      <c r="BD9" s="149" t="s">
        <v>23</v>
      </c>
      <c r="BE9" s="149" t="s">
        <v>24</v>
      </c>
      <c r="BF9" s="149" t="s">
        <v>25</v>
      </c>
      <c r="BG9" s="149" t="s">
        <v>26</v>
      </c>
      <c r="BH9" s="161" t="s">
        <v>44</v>
      </c>
      <c r="BI9" s="149" t="s">
        <v>23</v>
      </c>
      <c r="BJ9" s="149" t="s">
        <v>24</v>
      </c>
      <c r="BK9" s="149" t="s">
        <v>25</v>
      </c>
      <c r="BL9" s="150" t="s">
        <v>26</v>
      </c>
      <c r="BM9" s="155" t="s">
        <v>38</v>
      </c>
      <c r="BN9" s="153" t="s">
        <v>39</v>
      </c>
      <c r="BO9" s="153" t="s">
        <v>38</v>
      </c>
      <c r="BP9" s="153" t="s">
        <v>39</v>
      </c>
      <c r="BQ9" s="153" t="s">
        <v>38</v>
      </c>
      <c r="BR9" s="153" t="s">
        <v>39</v>
      </c>
      <c r="BS9" s="153" t="s">
        <v>38</v>
      </c>
      <c r="BT9" s="153" t="s">
        <v>39</v>
      </c>
      <c r="BU9" s="153" t="s">
        <v>38</v>
      </c>
      <c r="BV9" s="156" t="s">
        <v>39</v>
      </c>
      <c r="BW9" s="178" t="s">
        <v>0</v>
      </c>
      <c r="BX9" s="173" t="s">
        <v>0</v>
      </c>
      <c r="BY9" s="173" t="s">
        <v>0</v>
      </c>
      <c r="BZ9" s="173" t="s">
        <v>0</v>
      </c>
      <c r="CA9" s="173" t="s">
        <v>0</v>
      </c>
      <c r="CB9" s="173" t="s">
        <v>0</v>
      </c>
      <c r="CC9" s="173" t="s">
        <v>0</v>
      </c>
      <c r="CD9" s="173" t="s">
        <v>0</v>
      </c>
      <c r="CE9" s="173" t="s">
        <v>0</v>
      </c>
      <c r="CF9" s="173" t="s">
        <v>0</v>
      </c>
      <c r="CG9" s="161" t="s">
        <v>45</v>
      </c>
      <c r="CH9" s="149" t="s">
        <v>23</v>
      </c>
      <c r="CI9" s="149" t="s">
        <v>24</v>
      </c>
      <c r="CJ9" s="149" t="s">
        <v>25</v>
      </c>
      <c r="CK9" s="149" t="s">
        <v>26</v>
      </c>
      <c r="CL9" s="161" t="s">
        <v>41</v>
      </c>
      <c r="CM9" s="149" t="s">
        <v>23</v>
      </c>
      <c r="CN9" s="149" t="s">
        <v>24</v>
      </c>
      <c r="CO9" s="149" t="s">
        <v>25</v>
      </c>
      <c r="CP9" s="154" t="s">
        <v>26</v>
      </c>
      <c r="CQ9" s="175" t="s">
        <v>0</v>
      </c>
      <c r="CR9" s="161" t="s">
        <v>0</v>
      </c>
      <c r="CS9" s="161" t="s">
        <v>0</v>
      </c>
      <c r="CT9" s="161" t="s">
        <v>0</v>
      </c>
      <c r="CU9" s="179" t="s">
        <v>0</v>
      </c>
      <c r="CV9" s="175" t="s">
        <v>0</v>
      </c>
      <c r="CW9" s="161" t="s">
        <v>0</v>
      </c>
      <c r="CX9" s="161" t="s">
        <v>0</v>
      </c>
      <c r="CY9" s="161" t="s">
        <v>0</v>
      </c>
      <c r="CZ9" s="179" t="s">
        <v>0</v>
      </c>
      <c r="DA9" s="175" t="s">
        <v>0</v>
      </c>
      <c r="DB9" s="161" t="s">
        <v>0</v>
      </c>
      <c r="DC9" s="161" t="s">
        <v>0</v>
      </c>
      <c r="DD9" s="161" t="s">
        <v>0</v>
      </c>
      <c r="DE9" s="179" t="s">
        <v>0</v>
      </c>
      <c r="DF9" s="175" t="s">
        <v>0</v>
      </c>
      <c r="DG9" s="161" t="s">
        <v>0</v>
      </c>
      <c r="DH9" s="161" t="s">
        <v>0</v>
      </c>
      <c r="DI9" s="161" t="s">
        <v>0</v>
      </c>
      <c r="DJ9" s="179" t="s">
        <v>0</v>
      </c>
      <c r="DK9" s="185" t="s">
        <v>0</v>
      </c>
      <c r="DL9" s="161" t="s">
        <v>0</v>
      </c>
      <c r="DM9" s="161" t="s">
        <v>0</v>
      </c>
      <c r="DN9" s="161" t="s">
        <v>0</v>
      </c>
      <c r="DO9" s="161" t="s">
        <v>0</v>
      </c>
      <c r="DP9" s="161" t="s">
        <v>0</v>
      </c>
      <c r="DQ9" s="161" t="s">
        <v>0</v>
      </c>
      <c r="DR9" s="161" t="s">
        <v>0</v>
      </c>
      <c r="DS9" s="161" t="s">
        <v>0</v>
      </c>
      <c r="DT9" s="161" t="s">
        <v>0</v>
      </c>
      <c r="DU9" s="160" t="s">
        <v>0</v>
      </c>
    </row>
    <row r="10" spans="1:125" x14ac:dyDescent="0.2">
      <c r="A10" s="13" t="s">
        <v>0</v>
      </c>
      <c r="B10" s="13" t="s">
        <v>46</v>
      </c>
      <c r="C10" s="13" t="s">
        <v>47</v>
      </c>
      <c r="D10" s="13" t="s">
        <v>48</v>
      </c>
      <c r="E10" s="13" t="s">
        <v>49</v>
      </c>
      <c r="F10" s="13" t="s">
        <v>50</v>
      </c>
      <c r="G10" s="13" t="s">
        <v>51</v>
      </c>
      <c r="H10" s="13" t="s">
        <v>52</v>
      </c>
      <c r="I10" s="13" t="s">
        <v>53</v>
      </c>
      <c r="J10" s="13" t="s">
        <v>54</v>
      </c>
      <c r="K10" s="13" t="s">
        <v>55</v>
      </c>
      <c r="L10" s="13" t="s">
        <v>56</v>
      </c>
      <c r="M10" s="13" t="s">
        <v>57</v>
      </c>
      <c r="N10" s="13" t="s">
        <v>58</v>
      </c>
      <c r="O10" s="13" t="s">
        <v>59</v>
      </c>
      <c r="P10" s="13" t="s">
        <v>60</v>
      </c>
      <c r="Q10" s="13" t="s">
        <v>61</v>
      </c>
      <c r="R10" s="13" t="s">
        <v>62</v>
      </c>
      <c r="S10" s="13" t="s">
        <v>63</v>
      </c>
      <c r="T10" s="13" t="s">
        <v>64</v>
      </c>
      <c r="U10" s="13" t="s">
        <v>65</v>
      </c>
      <c r="V10" s="13" t="s">
        <v>66</v>
      </c>
      <c r="W10" s="13" t="s">
        <v>67</v>
      </c>
      <c r="X10" s="13" t="s">
        <v>68</v>
      </c>
      <c r="Y10" s="13" t="s">
        <v>69</v>
      </c>
      <c r="Z10" s="13" t="s">
        <v>70</v>
      </c>
      <c r="AA10" s="13" t="s">
        <v>71</v>
      </c>
      <c r="AB10" s="13" t="s">
        <v>72</v>
      </c>
      <c r="AC10" s="13" t="s">
        <v>73</v>
      </c>
      <c r="AD10" s="13" t="s">
        <v>74</v>
      </c>
      <c r="AE10" s="13">
        <v>30</v>
      </c>
      <c r="AF10" s="13">
        <v>31</v>
      </c>
      <c r="AG10" s="14" t="s">
        <v>75</v>
      </c>
      <c r="AH10" s="15" t="s">
        <v>76</v>
      </c>
      <c r="AI10" s="16" t="s">
        <v>77</v>
      </c>
      <c r="AJ10" s="17" t="s">
        <v>78</v>
      </c>
      <c r="AK10" s="17" t="s">
        <v>79</v>
      </c>
      <c r="AL10" s="17" t="s">
        <v>80</v>
      </c>
      <c r="AM10" s="17" t="s">
        <v>81</v>
      </c>
      <c r="AN10" s="17" t="s">
        <v>82</v>
      </c>
      <c r="AO10" s="17" t="s">
        <v>83</v>
      </c>
      <c r="AP10" s="17" t="s">
        <v>84</v>
      </c>
      <c r="AQ10" s="17" t="s">
        <v>85</v>
      </c>
      <c r="AR10" s="17" t="s">
        <v>86</v>
      </c>
      <c r="AS10" s="17" t="s">
        <v>87</v>
      </c>
      <c r="AT10" s="17" t="s">
        <v>88</v>
      </c>
      <c r="AU10" s="17" t="s">
        <v>89</v>
      </c>
      <c r="AV10" s="17" t="s">
        <v>90</v>
      </c>
      <c r="AW10" s="17" t="s">
        <v>91</v>
      </c>
      <c r="AX10" s="17" t="s">
        <v>92</v>
      </c>
      <c r="AY10" s="17" t="s">
        <v>93</v>
      </c>
      <c r="AZ10" s="17" t="s">
        <v>94</v>
      </c>
      <c r="BA10" s="17" t="s">
        <v>95</v>
      </c>
      <c r="BB10" s="17" t="s">
        <v>96</v>
      </c>
      <c r="BC10" s="17" t="s">
        <v>97</v>
      </c>
      <c r="BD10" s="17" t="s">
        <v>98</v>
      </c>
      <c r="BE10" s="17" t="s">
        <v>99</v>
      </c>
      <c r="BF10" s="17" t="s">
        <v>100</v>
      </c>
      <c r="BG10" s="17" t="s">
        <v>101</v>
      </c>
      <c r="BH10" s="17" t="s">
        <v>102</v>
      </c>
      <c r="BI10" s="17" t="s">
        <v>103</v>
      </c>
      <c r="BJ10" s="17" t="s">
        <v>104</v>
      </c>
      <c r="BK10" s="17" t="s">
        <v>105</v>
      </c>
      <c r="BL10" s="18" t="s">
        <v>106</v>
      </c>
      <c r="BM10" s="19" t="s">
        <v>107</v>
      </c>
      <c r="BN10" s="20" t="s">
        <v>108</v>
      </c>
      <c r="BO10" s="20" t="s">
        <v>109</v>
      </c>
      <c r="BP10" s="20" t="s">
        <v>110</v>
      </c>
      <c r="BQ10" s="20" t="s">
        <v>111</v>
      </c>
      <c r="BR10" s="20" t="s">
        <v>112</v>
      </c>
      <c r="BS10" s="20" t="s">
        <v>113</v>
      </c>
      <c r="BT10" s="20" t="s">
        <v>114</v>
      </c>
      <c r="BU10" s="20" t="s">
        <v>115</v>
      </c>
      <c r="BV10" s="21" t="s">
        <v>116</v>
      </c>
      <c r="BW10" s="22" t="s">
        <v>117</v>
      </c>
      <c r="BX10" s="20" t="s">
        <v>118</v>
      </c>
      <c r="BY10" s="20" t="s">
        <v>119</v>
      </c>
      <c r="BZ10" s="20" t="s">
        <v>120</v>
      </c>
      <c r="CA10" s="20" t="s">
        <v>121</v>
      </c>
      <c r="CB10" s="20" t="s">
        <v>122</v>
      </c>
      <c r="CC10" s="20" t="s">
        <v>123</v>
      </c>
      <c r="CD10" s="20" t="s">
        <v>124</v>
      </c>
      <c r="CE10" s="20" t="s">
        <v>125</v>
      </c>
      <c r="CF10" s="20" t="s">
        <v>126</v>
      </c>
      <c r="CG10" s="17" t="s">
        <v>127</v>
      </c>
      <c r="CH10" s="17" t="s">
        <v>128</v>
      </c>
      <c r="CI10" s="17" t="s">
        <v>129</v>
      </c>
      <c r="CJ10" s="17" t="s">
        <v>130</v>
      </c>
      <c r="CK10" s="17" t="s">
        <v>131</v>
      </c>
      <c r="CL10" s="17" t="s">
        <v>132</v>
      </c>
      <c r="CM10" s="17" t="s">
        <v>133</v>
      </c>
      <c r="CN10" s="17" t="s">
        <v>134</v>
      </c>
      <c r="CO10" s="17" t="s">
        <v>135</v>
      </c>
      <c r="CP10" s="23" t="s">
        <v>136</v>
      </c>
      <c r="CQ10" s="16" t="s">
        <v>137</v>
      </c>
      <c r="CR10" s="17" t="s">
        <v>138</v>
      </c>
      <c r="CS10" s="17" t="s">
        <v>139</v>
      </c>
      <c r="CT10" s="17" t="s">
        <v>140</v>
      </c>
      <c r="CU10" s="18" t="s">
        <v>141</v>
      </c>
      <c r="CV10" s="16" t="s">
        <v>142</v>
      </c>
      <c r="CW10" s="17" t="s">
        <v>143</v>
      </c>
      <c r="CX10" s="17" t="s">
        <v>144</v>
      </c>
      <c r="CY10" s="17" t="s">
        <v>145</v>
      </c>
      <c r="CZ10" s="18" t="s">
        <v>146</v>
      </c>
      <c r="DA10" s="16" t="s">
        <v>147</v>
      </c>
      <c r="DB10" s="17" t="s">
        <v>148</v>
      </c>
      <c r="DC10" s="17" t="s">
        <v>149</v>
      </c>
      <c r="DD10" s="17" t="s">
        <v>150</v>
      </c>
      <c r="DE10" s="18" t="s">
        <v>151</v>
      </c>
      <c r="DF10" s="16" t="s">
        <v>152</v>
      </c>
      <c r="DG10" s="17" t="s">
        <v>153</v>
      </c>
      <c r="DH10" s="17" t="s">
        <v>154</v>
      </c>
      <c r="DI10" s="17" t="s">
        <v>155</v>
      </c>
      <c r="DJ10" s="18" t="s">
        <v>156</v>
      </c>
      <c r="DK10" s="24" t="s">
        <v>157</v>
      </c>
      <c r="DL10" s="17" t="s">
        <v>158</v>
      </c>
      <c r="DM10" s="17" t="s">
        <v>159</v>
      </c>
      <c r="DN10" s="17" t="s">
        <v>160</v>
      </c>
      <c r="DO10" s="17" t="s">
        <v>161</v>
      </c>
      <c r="DP10" s="17" t="s">
        <v>162</v>
      </c>
      <c r="DQ10" s="17" t="s">
        <v>163</v>
      </c>
      <c r="DR10" s="25" t="s">
        <v>164</v>
      </c>
      <c r="DS10" s="17">
        <v>122</v>
      </c>
      <c r="DT10" s="17">
        <v>123</v>
      </c>
      <c r="DU10" s="13">
        <v>124</v>
      </c>
    </row>
    <row r="11" spans="1:125" s="37" customFormat="1" ht="42" x14ac:dyDescent="0.2">
      <c r="A11" s="26" t="s">
        <v>165</v>
      </c>
      <c r="B11" s="26" t="s">
        <v>166</v>
      </c>
      <c r="C11" s="27" t="s">
        <v>167</v>
      </c>
      <c r="D11" s="28" t="s">
        <v>168</v>
      </c>
      <c r="E11" s="28" t="s">
        <v>168</v>
      </c>
      <c r="F11" s="28" t="s">
        <v>168</v>
      </c>
      <c r="G11" s="28" t="s">
        <v>168</v>
      </c>
      <c r="H11" s="28" t="s">
        <v>168</v>
      </c>
      <c r="I11" s="28" t="s">
        <v>168</v>
      </c>
      <c r="J11" s="28" t="s">
        <v>168</v>
      </c>
      <c r="K11" s="28" t="s">
        <v>168</v>
      </c>
      <c r="L11" s="28" t="s">
        <v>168</v>
      </c>
      <c r="M11" s="28" t="s">
        <v>168</v>
      </c>
      <c r="N11" s="28" t="s">
        <v>168</v>
      </c>
      <c r="O11" s="28" t="s">
        <v>168</v>
      </c>
      <c r="P11" s="28" t="s">
        <v>168</v>
      </c>
      <c r="Q11" s="28" t="s">
        <v>168</v>
      </c>
      <c r="R11" s="28" t="s">
        <v>168</v>
      </c>
      <c r="S11" s="28" t="s">
        <v>168</v>
      </c>
      <c r="T11" s="28" t="s">
        <v>168</v>
      </c>
      <c r="U11" s="28" t="s">
        <v>168</v>
      </c>
      <c r="V11" s="28" t="s">
        <v>168</v>
      </c>
      <c r="W11" s="28" t="s">
        <v>168</v>
      </c>
      <c r="X11" s="28" t="s">
        <v>168</v>
      </c>
      <c r="Y11" s="28" t="s">
        <v>168</v>
      </c>
      <c r="Z11" s="28" t="s">
        <v>168</v>
      </c>
      <c r="AA11" s="28" t="s">
        <v>168</v>
      </c>
      <c r="AB11" s="28" t="s">
        <v>168</v>
      </c>
      <c r="AC11" s="28" t="s">
        <v>168</v>
      </c>
      <c r="AD11" s="28" t="s">
        <v>168</v>
      </c>
      <c r="AE11" s="28" t="s">
        <v>168</v>
      </c>
      <c r="AF11" s="28" t="s">
        <v>168</v>
      </c>
      <c r="AG11" s="28" t="s">
        <v>168</v>
      </c>
      <c r="AH11" s="29" t="s">
        <v>168</v>
      </c>
      <c r="AI11" s="30">
        <f>AI12+AI45+AI54+AI64+AI85+AI101+AI82</f>
        <v>5627867.3300000001</v>
      </c>
      <c r="AJ11" s="31">
        <f t="shared" ref="AJ11:BL11" si="0">AJ12+AJ45+AJ54+AJ64+AJ85+AJ101+AJ82</f>
        <v>5086834.1800000006</v>
      </c>
      <c r="AK11" s="31">
        <f t="shared" si="0"/>
        <v>216504.6</v>
      </c>
      <c r="AL11" s="31">
        <f t="shared" si="0"/>
        <v>215618.01</v>
      </c>
      <c r="AM11" s="31">
        <f t="shared" si="0"/>
        <v>1715533.31</v>
      </c>
      <c r="AN11" s="31">
        <f t="shared" si="0"/>
        <v>1710049.18</v>
      </c>
      <c r="AO11" s="31">
        <f t="shared" si="0"/>
        <v>204964.99</v>
      </c>
      <c r="AP11" s="31">
        <f t="shared" si="0"/>
        <v>164820.63</v>
      </c>
      <c r="AQ11" s="31">
        <f t="shared" si="0"/>
        <v>3490864.4299999997</v>
      </c>
      <c r="AR11" s="31">
        <f t="shared" si="0"/>
        <v>2996346.35</v>
      </c>
      <c r="AS11" s="31">
        <f>AS12+AS45+AS54+AS64+AS85+AS101+AS82</f>
        <v>6726331.3999999985</v>
      </c>
      <c r="AT11" s="31">
        <f t="shared" si="0"/>
        <v>90283.62</v>
      </c>
      <c r="AU11" s="31">
        <f t="shared" si="0"/>
        <v>2020687.77</v>
      </c>
      <c r="AV11" s="31">
        <f t="shared" si="0"/>
        <v>374325.38</v>
      </c>
      <c r="AW11" s="31">
        <f t="shared" si="0"/>
        <v>4241034.629999999</v>
      </c>
      <c r="AX11" s="31">
        <f>AX12+AX45+AX54+AX64+AX85+AX101+AX82</f>
        <v>6520513.6999999993</v>
      </c>
      <c r="AY11" s="31">
        <f t="shared" si="0"/>
        <v>90306.7</v>
      </c>
      <c r="AZ11" s="31">
        <f t="shared" si="0"/>
        <v>1641906.85</v>
      </c>
      <c r="BA11" s="31">
        <f t="shared" si="0"/>
        <v>1423515.5</v>
      </c>
      <c r="BB11" s="31">
        <f t="shared" si="0"/>
        <v>3364784.65</v>
      </c>
      <c r="BC11" s="31">
        <f t="shared" si="0"/>
        <v>4950732.4000000004</v>
      </c>
      <c r="BD11" s="31">
        <f t="shared" si="0"/>
        <v>90150.48</v>
      </c>
      <c r="BE11" s="31">
        <f t="shared" si="0"/>
        <v>1656504.89</v>
      </c>
      <c r="BF11" s="31">
        <f t="shared" si="0"/>
        <v>0</v>
      </c>
      <c r="BG11" s="31">
        <f t="shared" si="0"/>
        <v>3204077.0300000003</v>
      </c>
      <c r="BH11" s="31">
        <f t="shared" si="0"/>
        <v>4917094.3</v>
      </c>
      <c r="BI11" s="31">
        <f t="shared" si="0"/>
        <v>0</v>
      </c>
      <c r="BJ11" s="31">
        <f t="shared" si="0"/>
        <v>1655023.44</v>
      </c>
      <c r="BK11" s="31">
        <f t="shared" si="0"/>
        <v>0</v>
      </c>
      <c r="BL11" s="32">
        <f t="shared" si="0"/>
        <v>3262070.86</v>
      </c>
      <c r="BM11" s="30">
        <f>BM12+BM45+BM54+BM64+BM85+BM101+BM82</f>
        <v>4864545.12</v>
      </c>
      <c r="BN11" s="31">
        <f t="shared" ref="BN11" si="1">BN12+BN45+BN54+BN64+BN85+BN101+BN82</f>
        <v>4702172.74</v>
      </c>
      <c r="BO11" s="31">
        <f t="shared" ref="BO11" si="2">BO12+BO45+BO54+BO64+BO85+BO101+BO82</f>
        <v>181540.71000000002</v>
      </c>
      <c r="BP11" s="31">
        <f t="shared" ref="BP11" si="3">BP12+BP45+BP54+BP64+BP85+BP101+BP82</f>
        <v>180658.66</v>
      </c>
      <c r="BQ11" s="31">
        <f>BQ12+BQ45+BQ54+BQ64+BQ85+BQ101+BQ82</f>
        <v>1645610.26</v>
      </c>
      <c r="BR11" s="31">
        <f>BR12+BR45+BR54+BR64+BR85+BR101+BR82</f>
        <v>1640129.03</v>
      </c>
      <c r="BS11" s="31">
        <f t="shared" ref="BS11" si="4">BS12+BS45+BS54+BS64+BS85+BS101+BS82</f>
        <v>72700.69</v>
      </c>
      <c r="BT11" s="31">
        <f t="shared" ref="BT11" si="5">BT12+BT45+BT54+BT64+BT85+BT101+BT82</f>
        <v>69585.8</v>
      </c>
      <c r="BU11" s="31">
        <f t="shared" ref="BU11" si="6">BU12+BU45+BU54+BU64+BU85+BU101+BU82</f>
        <v>2964693.4599999995</v>
      </c>
      <c r="BV11" s="32">
        <f t="shared" ref="BV11" si="7">BV12+BV45+BV54+BV64+BV85+BV101+BV82</f>
        <v>2811799.25</v>
      </c>
      <c r="BW11" s="31">
        <f>BW12+BW45+BW54+BW64+BW85+BW101+BW82</f>
        <v>4967456.8499999996</v>
      </c>
      <c r="BX11" s="31">
        <f t="shared" ref="BX11" si="8">BX12+BX45+BX54+BX64+BX85+BX101+BX82</f>
        <v>90541.62999999999</v>
      </c>
      <c r="BY11" s="31">
        <f t="shared" ref="BY11" si="9">BY12+BY45+BY54+BY64+BY85+BY101+BY82</f>
        <v>1461300.74</v>
      </c>
      <c r="BZ11" s="31">
        <f t="shared" ref="BZ11" si="10">BZ12+BZ45+BZ54+BZ64+BZ85+BZ101+BZ82</f>
        <v>283908.81</v>
      </c>
      <c r="CA11" s="31">
        <f t="shared" ref="CA11" si="11">CA12+CA45+CA54+CA64+CA85+CA101+CA82</f>
        <v>3131705.6699999995</v>
      </c>
      <c r="CB11" s="31">
        <f>CB12+CB45+CB54+CB64+CB85+CB101+CB82</f>
        <v>4414481.1300000008</v>
      </c>
      <c r="CC11" s="31">
        <f t="shared" ref="CC11" si="12">CC12+CC45+CC54+CC64+CC85+CC101+CC82</f>
        <v>90150.48</v>
      </c>
      <c r="CD11" s="31">
        <f t="shared" ref="CD11" si="13">CD12+CD45+CD54+CD64+CD85+CD101+CD82</f>
        <v>1476726.4200000004</v>
      </c>
      <c r="CE11" s="31">
        <f t="shared" ref="CE11" si="14">CE12+CE45+CE54+CE64+CE85+CE101+CE82</f>
        <v>0</v>
      </c>
      <c r="CF11" s="31">
        <f t="shared" ref="CF11" si="15">CF12+CF45+CF54+CF64+CF85+CF101+CF82</f>
        <v>2847604.2300000004</v>
      </c>
      <c r="CG11" s="31">
        <f t="shared" ref="CG11" si="16">CG12+CG45+CG54+CG64+CG85+CG101+CG82</f>
        <v>4756445.4400000004</v>
      </c>
      <c r="CH11" s="31">
        <f t="shared" ref="CH11" si="17">CH12+CH45+CH54+CH64+CH85+CH101+CH82</f>
        <v>90150.48</v>
      </c>
      <c r="CI11" s="31">
        <f t="shared" ref="CI11" si="18">CI12+CI45+CI54+CI64+CI85+CI101+CI82</f>
        <v>1503636.9900000002</v>
      </c>
      <c r="CJ11" s="31">
        <f t="shared" ref="CJ11" si="19">CJ12+CJ45+CJ54+CJ64+CJ85+CJ101+CJ82</f>
        <v>0</v>
      </c>
      <c r="CK11" s="31">
        <f t="shared" ref="CK11" si="20">CK12+CK45+CK54+CK64+CK85+CK101+CK82</f>
        <v>3162657.97</v>
      </c>
      <c r="CL11" s="31">
        <f t="shared" ref="CL11" si="21">CL12+CL45+CL54+CL64+CL85+CL101+CL82</f>
        <v>4556374.9600000009</v>
      </c>
      <c r="CM11" s="31">
        <f t="shared" ref="CM11" si="22">CM12+CM45+CM54+CM64+CM85+CM101+CM82</f>
        <v>90150.48</v>
      </c>
      <c r="CN11" s="31">
        <f t="shared" ref="CN11" si="23">CN12+CN45+CN54+CN64+CN85+CN101+CN82</f>
        <v>1503636.9900000002</v>
      </c>
      <c r="CO11" s="31">
        <f t="shared" ref="CO11" si="24">CO12+CO45+CO54+CO64+CO85+CO101+CO82</f>
        <v>0</v>
      </c>
      <c r="CP11" s="32">
        <f t="shared" ref="CP11" si="25">CP12+CP45+CP54+CP64+CP85+CP101+CP82</f>
        <v>2962587.49</v>
      </c>
      <c r="CQ11" s="33">
        <v>5627867.3300000001</v>
      </c>
      <c r="CR11" s="34">
        <v>216504.6</v>
      </c>
      <c r="CS11" s="34">
        <v>1715533.31</v>
      </c>
      <c r="CT11" s="34">
        <v>204964.99</v>
      </c>
      <c r="CU11" s="35">
        <v>3490864.4299999997</v>
      </c>
      <c r="CV11" s="30">
        <f>CV12+CV45+CV54+CV64+CV85+CV101+CV82</f>
        <v>5881642.4699999997</v>
      </c>
      <c r="CW11" s="31">
        <f t="shared" ref="CW11" si="26">CW12+CW45+CW54+CW64+CW85+CW101+CW82</f>
        <v>90541.62999999999</v>
      </c>
      <c r="CX11" s="31">
        <f t="shared" ref="CX11" si="27">CX12+CX45+CX54+CX64+CX85+CX101+CX82</f>
        <v>1602619.19</v>
      </c>
      <c r="CY11" s="31">
        <f t="shared" ref="CY11" si="28">CY12+CY45+CY54+CY64+CY85+CY101+CY82</f>
        <v>5175.8</v>
      </c>
      <c r="CZ11" s="32">
        <f t="shared" ref="CZ11" si="29">CZ12+CZ45+CZ54+CZ64+CZ85+CZ101+CZ82</f>
        <v>4183305.8499999996</v>
      </c>
      <c r="DA11" s="30">
        <f>DA12+DA45+DA54+DA64+DA85+DA101+DA82</f>
        <v>4605977.28</v>
      </c>
      <c r="DB11" s="31">
        <f t="shared" ref="DB11" si="30">DB12+DB45+DB54+DB64+DB85+DB101+DB82</f>
        <v>90150.48</v>
      </c>
      <c r="DC11" s="31">
        <f t="shared" ref="DC11" si="31">DC12+DC45+DC54+DC64+DC85+DC101+DC82</f>
        <v>1505642.8900000001</v>
      </c>
      <c r="DD11" s="31">
        <f t="shared" ref="DD11" si="32">DD12+DD45+DD54+DD64+DD85+DD101+DD82</f>
        <v>0</v>
      </c>
      <c r="DE11" s="32">
        <f t="shared" ref="DE11" si="33">DE12+DE45+DE54+DE64+DE85+DE101+DE82</f>
        <v>3010183.9100000006</v>
      </c>
      <c r="DF11" s="33">
        <v>4864545.12</v>
      </c>
      <c r="DG11" s="34">
        <v>181540.71000000002</v>
      </c>
      <c r="DH11" s="34">
        <v>1645610.26</v>
      </c>
      <c r="DI11" s="31">
        <f t="shared" ref="DI11" si="34">DI12+DI45+DI54+DI64+DI85+DI101+DI82</f>
        <v>72700.69</v>
      </c>
      <c r="DJ11" s="34">
        <v>2964693.4599999995</v>
      </c>
      <c r="DK11" s="31">
        <f>DK12+DK45+DK54+DK64+DK85+DK101+DK82</f>
        <v>4967456.8499999996</v>
      </c>
      <c r="DL11" s="31">
        <f t="shared" ref="DL11" si="35">DL12+DL45+DL54+DL64+DL85+DL101+DL82</f>
        <v>90541.62999999999</v>
      </c>
      <c r="DM11" s="31">
        <f t="shared" ref="DM11" si="36">DM12+DM45+DM54+DM64+DM85+DM101+DM82</f>
        <v>1461300.74</v>
      </c>
      <c r="DN11" s="31">
        <f t="shared" ref="DN11" si="37">DN12+DN45+DN54+DN64+DN85+DN101+DN82</f>
        <v>283908.81</v>
      </c>
      <c r="DO11" s="31">
        <f t="shared" ref="DO11" si="38">DO12+DO45+DO54+DO64+DO85+DO101+DO82</f>
        <v>3131705.6699999995</v>
      </c>
      <c r="DP11" s="31">
        <f>DP12+DP45+DP54+DP64+DP85+DP101+DP82</f>
        <v>4414481.1300000008</v>
      </c>
      <c r="DQ11" s="31">
        <f t="shared" ref="DQ11" si="39">DQ12+DQ45+DQ54+DQ64+DQ85+DQ101+DQ82</f>
        <v>90150.48</v>
      </c>
      <c r="DR11" s="31">
        <f t="shared" ref="DR11" si="40">DR12+DR45+DR54+DR64+DR85+DR101+DR82</f>
        <v>1476726.4200000004</v>
      </c>
      <c r="DS11" s="31">
        <f t="shared" ref="DS11" si="41">DS12+DS45+DS54+DS64+DS85+DS101+DS82</f>
        <v>0</v>
      </c>
      <c r="DT11" s="31">
        <f t="shared" ref="DT11" si="42">DT12+DT45+DT54+DT64+DT85+DT101+DT82</f>
        <v>2847604.2300000004</v>
      </c>
      <c r="DU11" s="36" t="s">
        <v>0</v>
      </c>
    </row>
    <row r="12" spans="1:125" s="37" customFormat="1" ht="63" x14ac:dyDescent="0.2">
      <c r="A12" s="26" t="s">
        <v>169</v>
      </c>
      <c r="B12" s="26" t="s">
        <v>170</v>
      </c>
      <c r="C12" s="27" t="s">
        <v>171</v>
      </c>
      <c r="D12" s="28" t="s">
        <v>168</v>
      </c>
      <c r="E12" s="28" t="s">
        <v>168</v>
      </c>
      <c r="F12" s="28" t="s">
        <v>168</v>
      </c>
      <c r="G12" s="28" t="s">
        <v>168</v>
      </c>
      <c r="H12" s="28" t="s">
        <v>168</v>
      </c>
      <c r="I12" s="28" t="s">
        <v>168</v>
      </c>
      <c r="J12" s="28" t="s">
        <v>168</v>
      </c>
      <c r="K12" s="28" t="s">
        <v>168</v>
      </c>
      <c r="L12" s="28" t="s">
        <v>168</v>
      </c>
      <c r="M12" s="28" t="s">
        <v>168</v>
      </c>
      <c r="N12" s="28" t="s">
        <v>168</v>
      </c>
      <c r="O12" s="28" t="s">
        <v>168</v>
      </c>
      <c r="P12" s="28" t="s">
        <v>168</v>
      </c>
      <c r="Q12" s="28" t="s">
        <v>168</v>
      </c>
      <c r="R12" s="28" t="s">
        <v>168</v>
      </c>
      <c r="S12" s="28" t="s">
        <v>168</v>
      </c>
      <c r="T12" s="28" t="s">
        <v>168</v>
      </c>
      <c r="U12" s="28" t="s">
        <v>168</v>
      </c>
      <c r="V12" s="28" t="s">
        <v>168</v>
      </c>
      <c r="W12" s="28" t="s">
        <v>168</v>
      </c>
      <c r="X12" s="28" t="s">
        <v>168</v>
      </c>
      <c r="Y12" s="28" t="s">
        <v>168</v>
      </c>
      <c r="Z12" s="28" t="s">
        <v>168</v>
      </c>
      <c r="AA12" s="28" t="s">
        <v>168</v>
      </c>
      <c r="AB12" s="28" t="s">
        <v>168</v>
      </c>
      <c r="AC12" s="28" t="s">
        <v>168</v>
      </c>
      <c r="AD12" s="28" t="s">
        <v>168</v>
      </c>
      <c r="AE12" s="28" t="s">
        <v>168</v>
      </c>
      <c r="AF12" s="28" t="s">
        <v>168</v>
      </c>
      <c r="AG12" s="28" t="s">
        <v>168</v>
      </c>
      <c r="AH12" s="29" t="s">
        <v>168</v>
      </c>
      <c r="AI12" s="30">
        <f>AI13+AI40</f>
        <v>2591353.5300000007</v>
      </c>
      <c r="AJ12" s="31">
        <f t="shared" ref="AJ12:AR12" si="43">AJ13+AJ40</f>
        <v>2180345.1900000004</v>
      </c>
      <c r="AK12" s="31">
        <f t="shared" si="43"/>
        <v>95705.21</v>
      </c>
      <c r="AL12" s="31">
        <f t="shared" si="43"/>
        <v>95552.74</v>
      </c>
      <c r="AM12" s="31">
        <f t="shared" si="43"/>
        <v>60021.169999999984</v>
      </c>
      <c r="AN12" s="31">
        <f t="shared" si="43"/>
        <v>60021.169999999984</v>
      </c>
      <c r="AO12" s="31">
        <f t="shared" si="43"/>
        <v>203464.99</v>
      </c>
      <c r="AP12" s="31">
        <f t="shared" si="43"/>
        <v>163320.63</v>
      </c>
      <c r="AQ12" s="31">
        <f t="shared" si="43"/>
        <v>2232162.16</v>
      </c>
      <c r="AR12" s="31">
        <f t="shared" si="43"/>
        <v>1861450.65</v>
      </c>
      <c r="AS12" s="31">
        <f>AS13+AS40</f>
        <v>3433158.2499999991</v>
      </c>
      <c r="AT12" s="31">
        <f t="shared" ref="AT12" si="44">AT13+AT40</f>
        <v>0</v>
      </c>
      <c r="AU12" s="31">
        <f t="shared" ref="AU12" si="45">AU13+AU40</f>
        <v>225943.80000000002</v>
      </c>
      <c r="AV12" s="31">
        <f t="shared" ref="AV12" si="46">AV13+AV40</f>
        <v>283995.38</v>
      </c>
      <c r="AW12" s="31">
        <f t="shared" ref="AW12" si="47">AW13+AW40</f>
        <v>2923219.0699999989</v>
      </c>
      <c r="AX12" s="31">
        <f t="shared" ref="AX12" si="48">AX13+AX40</f>
        <v>3147430.65</v>
      </c>
      <c r="AY12" s="31">
        <f t="shared" ref="AY12" si="49">AY13+AY40</f>
        <v>0</v>
      </c>
      <c r="AZ12" s="31">
        <f t="shared" ref="AZ12" si="50">AZ13+AZ40</f>
        <v>0</v>
      </c>
      <c r="BA12" s="31">
        <f t="shared" ref="BA12" si="51">BA13+BA40</f>
        <v>850850.79999999993</v>
      </c>
      <c r="BB12" s="31">
        <f t="shared" ref="BB12" si="52">BB13+BB40</f>
        <v>2296579.85</v>
      </c>
      <c r="BC12" s="31">
        <f t="shared" ref="BC12" si="53">BC13+BC40</f>
        <v>2081427.01</v>
      </c>
      <c r="BD12" s="31">
        <f t="shared" ref="BD12" si="54">BD13+BD40</f>
        <v>0</v>
      </c>
      <c r="BE12" s="31">
        <f t="shared" ref="BE12" si="55">BE13+BE40</f>
        <v>0</v>
      </c>
      <c r="BF12" s="31">
        <f t="shared" ref="BF12" si="56">BF13+BF40</f>
        <v>0</v>
      </c>
      <c r="BG12" s="31">
        <f t="shared" ref="BG12" si="57">BG13+BG40</f>
        <v>2081427.01</v>
      </c>
      <c r="BH12" s="31">
        <f t="shared" ref="BH12" si="58">BH13+BH40</f>
        <v>2114997.2399999998</v>
      </c>
      <c r="BI12" s="31">
        <f t="shared" ref="BI12" si="59">BI13+BI40</f>
        <v>0</v>
      </c>
      <c r="BJ12" s="31">
        <f t="shared" ref="BJ12" si="60">BJ13+BJ40</f>
        <v>0</v>
      </c>
      <c r="BK12" s="31">
        <f t="shared" ref="BK12" si="61">BK13+BK40</f>
        <v>0</v>
      </c>
      <c r="BL12" s="32">
        <f t="shared" ref="BL12" si="62">BL13+BL40</f>
        <v>2114997.2399999998</v>
      </c>
      <c r="BM12" s="30">
        <f>BM13+BM40</f>
        <v>2042781.7400000002</v>
      </c>
      <c r="BN12" s="31">
        <f t="shared" ref="BN12:BV12" si="63">BN13+BN40</f>
        <v>1933136.91</v>
      </c>
      <c r="BO12" s="31">
        <f t="shared" si="63"/>
        <v>90777.310000000012</v>
      </c>
      <c r="BP12" s="31">
        <f t="shared" si="63"/>
        <v>90624.840000000011</v>
      </c>
      <c r="BQ12" s="31">
        <f t="shared" si="63"/>
        <v>30371.57</v>
      </c>
      <c r="BR12" s="31">
        <f t="shared" si="63"/>
        <v>30371.57</v>
      </c>
      <c r="BS12" s="31">
        <f t="shared" si="63"/>
        <v>71200.69</v>
      </c>
      <c r="BT12" s="31">
        <f t="shared" si="63"/>
        <v>68085.8</v>
      </c>
      <c r="BU12" s="31">
        <f t="shared" si="63"/>
        <v>1850432.1700000002</v>
      </c>
      <c r="BV12" s="32">
        <f t="shared" si="63"/>
        <v>1744054.7000000002</v>
      </c>
      <c r="BW12" s="31">
        <f>BW13+BW40</f>
        <v>2152125.36</v>
      </c>
      <c r="BX12" s="31">
        <f t="shared" ref="BX12:CA12" si="64">BX13+BX40</f>
        <v>0</v>
      </c>
      <c r="BY12" s="31">
        <f t="shared" si="64"/>
        <v>5262</v>
      </c>
      <c r="BZ12" s="31">
        <f t="shared" si="64"/>
        <v>211008.81</v>
      </c>
      <c r="CA12" s="31">
        <f t="shared" si="64"/>
        <v>1935854.5499999998</v>
      </c>
      <c r="CB12" s="31">
        <f t="shared" ref="CB12:CP12" si="65">CB13+CB40</f>
        <v>1805395.96</v>
      </c>
      <c r="CC12" s="31">
        <f t="shared" si="65"/>
        <v>0</v>
      </c>
      <c r="CD12" s="31">
        <f t="shared" si="65"/>
        <v>0</v>
      </c>
      <c r="CE12" s="31">
        <f t="shared" si="65"/>
        <v>0</v>
      </c>
      <c r="CF12" s="31">
        <f t="shared" si="65"/>
        <v>1805395.96</v>
      </c>
      <c r="CG12" s="31">
        <f t="shared" si="65"/>
        <v>1845978.22</v>
      </c>
      <c r="CH12" s="31">
        <f t="shared" si="65"/>
        <v>0</v>
      </c>
      <c r="CI12" s="31">
        <f t="shared" si="65"/>
        <v>0</v>
      </c>
      <c r="CJ12" s="31">
        <f t="shared" si="65"/>
        <v>0</v>
      </c>
      <c r="CK12" s="31">
        <f t="shared" si="65"/>
        <v>1845978.22</v>
      </c>
      <c r="CL12" s="31">
        <f t="shared" si="65"/>
        <v>1845978.22</v>
      </c>
      <c r="CM12" s="31">
        <f t="shared" si="65"/>
        <v>0</v>
      </c>
      <c r="CN12" s="31">
        <f t="shared" si="65"/>
        <v>0</v>
      </c>
      <c r="CO12" s="31">
        <f t="shared" si="65"/>
        <v>0</v>
      </c>
      <c r="CP12" s="32">
        <f t="shared" si="65"/>
        <v>1845978.22</v>
      </c>
      <c r="CQ12" s="33">
        <v>2591353.5300000007</v>
      </c>
      <c r="CR12" s="34">
        <v>95705.21</v>
      </c>
      <c r="CS12" s="34">
        <v>60021.169999999984</v>
      </c>
      <c r="CT12" s="34">
        <v>203464.99</v>
      </c>
      <c r="CU12" s="35">
        <v>2232162.16</v>
      </c>
      <c r="CV12" s="30">
        <f>CV13+CV40</f>
        <v>2929289.57</v>
      </c>
      <c r="CW12" s="31">
        <f t="shared" ref="CW12:DE12" si="66">CW13+CW40</f>
        <v>0</v>
      </c>
      <c r="CX12" s="31">
        <f t="shared" si="66"/>
        <v>64326.400000000001</v>
      </c>
      <c r="CY12" s="31">
        <f t="shared" si="66"/>
        <v>5175.8</v>
      </c>
      <c r="CZ12" s="32">
        <f t="shared" si="66"/>
        <v>2859787.37</v>
      </c>
      <c r="DA12" s="30">
        <f t="shared" si="66"/>
        <v>1956095.8300000003</v>
      </c>
      <c r="DB12" s="31">
        <f t="shared" si="66"/>
        <v>0</v>
      </c>
      <c r="DC12" s="31">
        <f t="shared" si="66"/>
        <v>0</v>
      </c>
      <c r="DD12" s="31">
        <f t="shared" si="66"/>
        <v>0</v>
      </c>
      <c r="DE12" s="32">
        <f t="shared" si="66"/>
        <v>1956095.8300000003</v>
      </c>
      <c r="DF12" s="33">
        <v>2042781.7400000002</v>
      </c>
      <c r="DG12" s="34">
        <v>90777.310000000012</v>
      </c>
      <c r="DH12" s="34">
        <v>30371.57</v>
      </c>
      <c r="DI12" s="31">
        <f t="shared" ref="DI12" si="67">DI13+DI40</f>
        <v>71200.69</v>
      </c>
      <c r="DJ12" s="34">
        <v>1850432.1700000002</v>
      </c>
      <c r="DK12" s="31">
        <f>DK13+DK40</f>
        <v>2152125.36</v>
      </c>
      <c r="DL12" s="31">
        <f t="shared" ref="DL12:DT12" si="68">DL13+DL40</f>
        <v>0</v>
      </c>
      <c r="DM12" s="31">
        <f t="shared" si="68"/>
        <v>5262</v>
      </c>
      <c r="DN12" s="31">
        <f t="shared" si="68"/>
        <v>211008.81</v>
      </c>
      <c r="DO12" s="31">
        <f t="shared" si="68"/>
        <v>1935854.5499999998</v>
      </c>
      <c r="DP12" s="31">
        <f t="shared" si="68"/>
        <v>1805395.96</v>
      </c>
      <c r="DQ12" s="31">
        <f t="shared" si="68"/>
        <v>0</v>
      </c>
      <c r="DR12" s="31">
        <f t="shared" si="68"/>
        <v>0</v>
      </c>
      <c r="DS12" s="31">
        <f t="shared" si="68"/>
        <v>0</v>
      </c>
      <c r="DT12" s="31">
        <f t="shared" si="68"/>
        <v>1805395.96</v>
      </c>
      <c r="DU12" s="36" t="s">
        <v>0</v>
      </c>
    </row>
    <row r="13" spans="1:125" s="37" customFormat="1" ht="63" x14ac:dyDescent="0.2">
      <c r="A13" s="26" t="s">
        <v>172</v>
      </c>
      <c r="B13" s="26" t="s">
        <v>173</v>
      </c>
      <c r="C13" s="27" t="s">
        <v>174</v>
      </c>
      <c r="D13" s="28" t="s">
        <v>168</v>
      </c>
      <c r="E13" s="28" t="s">
        <v>168</v>
      </c>
      <c r="F13" s="28" t="s">
        <v>168</v>
      </c>
      <c r="G13" s="28" t="s">
        <v>168</v>
      </c>
      <c r="H13" s="28" t="s">
        <v>168</v>
      </c>
      <c r="I13" s="28" t="s">
        <v>168</v>
      </c>
      <c r="J13" s="28" t="s">
        <v>168</v>
      </c>
      <c r="K13" s="28" t="s">
        <v>168</v>
      </c>
      <c r="L13" s="28" t="s">
        <v>168</v>
      </c>
      <c r="M13" s="28" t="s">
        <v>168</v>
      </c>
      <c r="N13" s="28" t="s">
        <v>168</v>
      </c>
      <c r="O13" s="28" t="s">
        <v>168</v>
      </c>
      <c r="P13" s="28" t="s">
        <v>168</v>
      </c>
      <c r="Q13" s="28" t="s">
        <v>168</v>
      </c>
      <c r="R13" s="28" t="s">
        <v>168</v>
      </c>
      <c r="S13" s="28" t="s">
        <v>168</v>
      </c>
      <c r="T13" s="28" t="s">
        <v>168</v>
      </c>
      <c r="U13" s="28" t="s">
        <v>168</v>
      </c>
      <c r="V13" s="28" t="s">
        <v>168</v>
      </c>
      <c r="W13" s="28" t="s">
        <v>168</v>
      </c>
      <c r="X13" s="28" t="s">
        <v>168</v>
      </c>
      <c r="Y13" s="28" t="s">
        <v>168</v>
      </c>
      <c r="Z13" s="28" t="s">
        <v>168</v>
      </c>
      <c r="AA13" s="28" t="s">
        <v>168</v>
      </c>
      <c r="AB13" s="28" t="s">
        <v>168</v>
      </c>
      <c r="AC13" s="28" t="s">
        <v>168</v>
      </c>
      <c r="AD13" s="28" t="s">
        <v>168</v>
      </c>
      <c r="AE13" s="28" t="s">
        <v>168</v>
      </c>
      <c r="AF13" s="28" t="s">
        <v>168</v>
      </c>
      <c r="AG13" s="28" t="s">
        <v>168</v>
      </c>
      <c r="AH13" s="29" t="s">
        <v>168</v>
      </c>
      <c r="AI13" s="30">
        <f>SUM(AI14:AI39)</f>
        <v>2577008.3700000006</v>
      </c>
      <c r="AJ13" s="31">
        <f t="shared" ref="AJ13:BL13" si="69">SUM(AJ14:AJ39)</f>
        <v>2166000.0300000003</v>
      </c>
      <c r="AK13" s="31">
        <f>SUM(AK14:AK39)</f>
        <v>95705.21</v>
      </c>
      <c r="AL13" s="31">
        <f t="shared" si="69"/>
        <v>95552.74</v>
      </c>
      <c r="AM13" s="31">
        <f t="shared" si="69"/>
        <v>60021.169999999984</v>
      </c>
      <c r="AN13" s="31">
        <f t="shared" si="69"/>
        <v>60021.169999999984</v>
      </c>
      <c r="AO13" s="31">
        <f t="shared" si="69"/>
        <v>203464.99</v>
      </c>
      <c r="AP13" s="31">
        <f t="shared" si="69"/>
        <v>163320.63</v>
      </c>
      <c r="AQ13" s="31">
        <f>SUM(AQ14:AQ39)</f>
        <v>2217817</v>
      </c>
      <c r="AR13" s="31">
        <f t="shared" si="69"/>
        <v>1847105.49</v>
      </c>
      <c r="AS13" s="31">
        <f>SUM(AS14:AS39)</f>
        <v>3417711.8699999992</v>
      </c>
      <c r="AT13" s="31">
        <f t="shared" si="69"/>
        <v>0</v>
      </c>
      <c r="AU13" s="31">
        <f t="shared" si="69"/>
        <v>225943.80000000002</v>
      </c>
      <c r="AV13" s="31">
        <f t="shared" si="69"/>
        <v>283995.38</v>
      </c>
      <c r="AW13" s="31">
        <f t="shared" si="69"/>
        <v>2907772.689999999</v>
      </c>
      <c r="AX13" s="31">
        <f t="shared" si="69"/>
        <v>3131996.77</v>
      </c>
      <c r="AY13" s="31">
        <f t="shared" si="69"/>
        <v>0</v>
      </c>
      <c r="AZ13" s="31">
        <f t="shared" si="69"/>
        <v>0</v>
      </c>
      <c r="BA13" s="31">
        <f t="shared" si="69"/>
        <v>850850.79999999993</v>
      </c>
      <c r="BB13" s="31">
        <f t="shared" si="69"/>
        <v>2281145.9700000002</v>
      </c>
      <c r="BC13" s="31">
        <f t="shared" si="69"/>
        <v>2066055.1300000001</v>
      </c>
      <c r="BD13" s="31">
        <f t="shared" si="69"/>
        <v>0</v>
      </c>
      <c r="BE13" s="31">
        <f t="shared" si="69"/>
        <v>0</v>
      </c>
      <c r="BF13" s="31">
        <f t="shared" si="69"/>
        <v>0</v>
      </c>
      <c r="BG13" s="31">
        <f t="shared" si="69"/>
        <v>2066055.1300000001</v>
      </c>
      <c r="BH13" s="31">
        <f t="shared" si="69"/>
        <v>2098444.2399999998</v>
      </c>
      <c r="BI13" s="31">
        <f t="shared" si="69"/>
        <v>0</v>
      </c>
      <c r="BJ13" s="31">
        <f t="shared" si="69"/>
        <v>0</v>
      </c>
      <c r="BK13" s="31">
        <f t="shared" si="69"/>
        <v>0</v>
      </c>
      <c r="BL13" s="32">
        <f t="shared" si="69"/>
        <v>2098444.2399999998</v>
      </c>
      <c r="BM13" s="30">
        <f>SUM(BM14:BM39)</f>
        <v>2036304.3300000003</v>
      </c>
      <c r="BN13" s="31">
        <f t="shared" ref="BN13" si="70">SUM(BN14:BN39)</f>
        <v>1926659.5</v>
      </c>
      <c r="BO13" s="31">
        <f>SUM(BO14:BO39)</f>
        <v>90777.310000000012</v>
      </c>
      <c r="BP13" s="31">
        <f t="shared" ref="BP13" si="71">SUM(BP14:BP39)</f>
        <v>90624.840000000011</v>
      </c>
      <c r="BQ13" s="31">
        <f t="shared" ref="BQ13" si="72">SUM(BQ14:BQ39)</f>
        <v>30371.57</v>
      </c>
      <c r="BR13" s="31">
        <f t="shared" ref="BR13" si="73">SUM(BR14:BR39)</f>
        <v>30371.57</v>
      </c>
      <c r="BS13" s="31">
        <f t="shared" ref="BS13" si="74">SUM(BS14:BS39)</f>
        <v>71200.69</v>
      </c>
      <c r="BT13" s="31">
        <f t="shared" ref="BT13" si="75">SUM(BT14:BT39)</f>
        <v>68085.8</v>
      </c>
      <c r="BU13" s="31">
        <f>SUM(BU14:BU39)</f>
        <v>1843954.7600000002</v>
      </c>
      <c r="BV13" s="32">
        <f t="shared" ref="BV13" si="76">SUM(BV14:BV39)</f>
        <v>1737577.2900000003</v>
      </c>
      <c r="BW13" s="31">
        <f>SUM(BW14:BW39)</f>
        <v>2145209.6599999997</v>
      </c>
      <c r="BX13" s="31">
        <f t="shared" ref="BX13" si="77">SUM(BX14:BX39)</f>
        <v>0</v>
      </c>
      <c r="BY13" s="31">
        <f t="shared" ref="BY13" si="78">SUM(BY14:BY39)</f>
        <v>5262</v>
      </c>
      <c r="BZ13" s="31">
        <f t="shared" ref="BZ13" si="79">SUM(BZ14:BZ39)</f>
        <v>211008.81</v>
      </c>
      <c r="CA13" s="31">
        <f t="shared" ref="CA13" si="80">SUM(CA14:CA39)</f>
        <v>1928938.8499999999</v>
      </c>
      <c r="CB13" s="31">
        <f t="shared" ref="CB13" si="81">SUM(CB14:CB39)</f>
        <v>1798453.38</v>
      </c>
      <c r="CC13" s="31">
        <f t="shared" ref="CC13" si="82">SUM(CC14:CC39)</f>
        <v>0</v>
      </c>
      <c r="CD13" s="31">
        <f t="shared" ref="CD13" si="83">SUM(CD14:CD39)</f>
        <v>0</v>
      </c>
      <c r="CE13" s="31">
        <f t="shared" ref="CE13" si="84">SUM(CE14:CE39)</f>
        <v>0</v>
      </c>
      <c r="CF13" s="31">
        <f t="shared" ref="CF13" si="85">SUM(CF14:CF39)</f>
        <v>1798453.38</v>
      </c>
      <c r="CG13" s="31">
        <f t="shared" ref="CG13" si="86">SUM(CG14:CG39)</f>
        <v>1839011.92</v>
      </c>
      <c r="CH13" s="31">
        <f t="shared" ref="CH13" si="87">SUM(CH14:CH39)</f>
        <v>0</v>
      </c>
      <c r="CI13" s="31">
        <f t="shared" ref="CI13" si="88">SUM(CI14:CI39)</f>
        <v>0</v>
      </c>
      <c r="CJ13" s="31">
        <f t="shared" ref="CJ13" si="89">SUM(CJ14:CJ39)</f>
        <v>0</v>
      </c>
      <c r="CK13" s="31">
        <f t="shared" ref="CK13" si="90">SUM(CK14:CK39)</f>
        <v>1839011.92</v>
      </c>
      <c r="CL13" s="31">
        <f t="shared" ref="CL13" si="91">SUM(CL14:CL39)</f>
        <v>1839011.92</v>
      </c>
      <c r="CM13" s="31">
        <f t="shared" ref="CM13" si="92">SUM(CM14:CM39)</f>
        <v>0</v>
      </c>
      <c r="CN13" s="31">
        <f t="shared" ref="CN13" si="93">SUM(CN14:CN39)</f>
        <v>0</v>
      </c>
      <c r="CO13" s="31">
        <f t="shared" ref="CO13" si="94">SUM(CO14:CO39)</f>
        <v>0</v>
      </c>
      <c r="CP13" s="32">
        <f t="shared" ref="CP13" si="95">SUM(CP14:CP39)</f>
        <v>1839011.92</v>
      </c>
      <c r="CQ13" s="33">
        <v>2577008.3700000006</v>
      </c>
      <c r="CR13" s="34">
        <v>95705.21</v>
      </c>
      <c r="CS13" s="34">
        <v>60021.169999999984</v>
      </c>
      <c r="CT13" s="34">
        <v>203464.99</v>
      </c>
      <c r="CU13" s="35">
        <v>2217817</v>
      </c>
      <c r="CV13" s="30">
        <f>SUM(CV14:CV39)</f>
        <v>2913843.19</v>
      </c>
      <c r="CW13" s="31">
        <f t="shared" ref="CW13" si="96">SUM(CW14:CW39)</f>
        <v>0</v>
      </c>
      <c r="CX13" s="31">
        <f t="shared" ref="CX13" si="97">SUM(CX14:CX39)</f>
        <v>64326.400000000001</v>
      </c>
      <c r="CY13" s="31">
        <f t="shared" ref="CY13" si="98">SUM(CY14:CY39)</f>
        <v>5175.8</v>
      </c>
      <c r="CZ13" s="32">
        <f t="shared" ref="CZ13" si="99">SUM(CZ14:CZ39)</f>
        <v>2844340.99</v>
      </c>
      <c r="DA13" s="30">
        <f t="shared" ref="DA13" si="100">SUM(DA14:DA39)</f>
        <v>1940685.0700000003</v>
      </c>
      <c r="DB13" s="31">
        <f t="shared" ref="DB13" si="101">SUM(DB14:DB39)</f>
        <v>0</v>
      </c>
      <c r="DC13" s="31">
        <f t="shared" ref="DC13" si="102">SUM(DC14:DC39)</f>
        <v>0</v>
      </c>
      <c r="DD13" s="31">
        <f t="shared" ref="DD13" si="103">SUM(DD14:DD39)</f>
        <v>0</v>
      </c>
      <c r="DE13" s="32">
        <f t="shared" ref="DE13" si="104">SUM(DE14:DE39)</f>
        <v>1940685.0700000003</v>
      </c>
      <c r="DF13" s="33">
        <v>2036304.3300000003</v>
      </c>
      <c r="DG13" s="34">
        <v>90777.310000000012</v>
      </c>
      <c r="DH13" s="34">
        <v>30371.57</v>
      </c>
      <c r="DI13" s="31">
        <f t="shared" ref="DI13" si="105">SUM(DI14:DI39)</f>
        <v>71200.69</v>
      </c>
      <c r="DJ13" s="34">
        <v>1843954.7600000002</v>
      </c>
      <c r="DK13" s="31">
        <f>SUM(DK14:DK39)</f>
        <v>2145209.6599999997</v>
      </c>
      <c r="DL13" s="31">
        <f t="shared" ref="DL13" si="106">SUM(DL14:DL39)</f>
        <v>0</v>
      </c>
      <c r="DM13" s="31">
        <f t="shared" ref="DM13" si="107">SUM(DM14:DM39)</f>
        <v>5262</v>
      </c>
      <c r="DN13" s="31">
        <f t="shared" ref="DN13" si="108">SUM(DN14:DN39)</f>
        <v>211008.81</v>
      </c>
      <c r="DO13" s="31">
        <f t="shared" ref="DO13" si="109">SUM(DO14:DO39)</f>
        <v>1928938.8499999999</v>
      </c>
      <c r="DP13" s="31">
        <f t="shared" ref="DP13" si="110">SUM(DP14:DP39)</f>
        <v>1798453.38</v>
      </c>
      <c r="DQ13" s="31">
        <f t="shared" ref="DQ13" si="111">SUM(DQ14:DQ39)</f>
        <v>0</v>
      </c>
      <c r="DR13" s="31">
        <f t="shared" ref="DR13" si="112">SUM(DR14:DR39)</f>
        <v>0</v>
      </c>
      <c r="DS13" s="31">
        <f t="shared" ref="DS13" si="113">SUM(DS14:DS39)</f>
        <v>0</v>
      </c>
      <c r="DT13" s="31">
        <f t="shared" ref="DT13" si="114">SUM(DT14:DT39)</f>
        <v>1798453.38</v>
      </c>
      <c r="DU13" s="36" t="s">
        <v>0</v>
      </c>
    </row>
    <row r="14" spans="1:125" customFormat="1" ht="371.25" x14ac:dyDescent="0.2">
      <c r="A14" s="38" t="s">
        <v>175</v>
      </c>
      <c r="B14" s="38" t="s">
        <v>176</v>
      </c>
      <c r="C14" s="39" t="s">
        <v>177</v>
      </c>
      <c r="D14" s="40" t="s">
        <v>393</v>
      </c>
      <c r="E14" s="40"/>
      <c r="F14" s="40"/>
      <c r="G14" s="40"/>
      <c r="H14" s="40"/>
      <c r="I14" s="40"/>
      <c r="J14" s="13"/>
      <c r="K14" s="40" t="s">
        <v>0</v>
      </c>
      <c r="L14" s="40" t="s">
        <v>0</v>
      </c>
      <c r="M14" s="40" t="s">
        <v>0</v>
      </c>
      <c r="N14" s="40"/>
      <c r="O14" s="40"/>
      <c r="P14" s="40"/>
      <c r="Q14" s="13"/>
      <c r="R14" s="40" t="s">
        <v>0</v>
      </c>
      <c r="S14" s="40" t="s">
        <v>0</v>
      </c>
      <c r="T14" s="40" t="s">
        <v>0</v>
      </c>
      <c r="U14" s="40" t="s">
        <v>0</v>
      </c>
      <c r="V14" s="40" t="s">
        <v>0</v>
      </c>
      <c r="W14" s="40" t="s">
        <v>0</v>
      </c>
      <c r="X14" s="40" t="s">
        <v>394</v>
      </c>
      <c r="Y14" s="40"/>
      <c r="Z14" s="40"/>
      <c r="AA14" s="40" t="s">
        <v>0</v>
      </c>
      <c r="AB14" s="40" t="s">
        <v>0</v>
      </c>
      <c r="AC14" s="40" t="s">
        <v>0</v>
      </c>
      <c r="AD14" s="40" t="s">
        <v>477</v>
      </c>
      <c r="AE14" s="41"/>
      <c r="AF14" s="41"/>
      <c r="AG14" s="42" t="s">
        <v>46</v>
      </c>
      <c r="AH14" s="43" t="s">
        <v>474</v>
      </c>
      <c r="AI14" s="44">
        <f>AK14+AM14+AO14+AQ14</f>
        <v>83976.400000000009</v>
      </c>
      <c r="AJ14" s="45">
        <f>AL14+AN14+AP14+AR14</f>
        <v>24486.219999999998</v>
      </c>
      <c r="AK14" s="45">
        <v>0</v>
      </c>
      <c r="AL14" s="45">
        <v>0</v>
      </c>
      <c r="AM14" s="45">
        <v>292.60000000000002</v>
      </c>
      <c r="AN14" s="45">
        <v>292.60000000000002</v>
      </c>
      <c r="AO14" s="45">
        <v>0</v>
      </c>
      <c r="AP14" s="45">
        <v>0</v>
      </c>
      <c r="AQ14" s="46">
        <f>80974.69+1703.15+903.69+122.27-20</f>
        <v>83683.8</v>
      </c>
      <c r="AR14" s="46">
        <f>21464.53+1703.15+903.69+122.27-0.02</f>
        <v>24193.62</v>
      </c>
      <c r="AS14" s="45">
        <f>SUM(AT14:AW14)</f>
        <v>307809.59999999998</v>
      </c>
      <c r="AT14" s="45">
        <v>0</v>
      </c>
      <c r="AU14" s="45">
        <f>1500+1235+2295+900</f>
        <v>5930</v>
      </c>
      <c r="AV14" s="45">
        <v>0</v>
      </c>
      <c r="AW14" s="45">
        <f>46556.06-6831.37+2600+311997.17-2735-5930-77441.46+33664.2</f>
        <v>301879.59999999998</v>
      </c>
      <c r="AX14" s="46">
        <f>BB14</f>
        <v>59968.289999999979</v>
      </c>
      <c r="AY14" s="45">
        <v>0</v>
      </c>
      <c r="AZ14" s="45">
        <v>0</v>
      </c>
      <c r="BA14" s="45">
        <v>0</v>
      </c>
      <c r="BB14" s="46">
        <f>355053.61-295085.32</f>
        <v>59968.289999999979</v>
      </c>
      <c r="BC14" s="46">
        <f>BG14</f>
        <v>101733.8</v>
      </c>
      <c r="BD14" s="45">
        <v>0</v>
      </c>
      <c r="BE14" s="45">
        <v>0</v>
      </c>
      <c r="BF14" s="45">
        <v>0</v>
      </c>
      <c r="BG14" s="46">
        <f>33530.81+2600+65602.99</f>
        <v>101733.8</v>
      </c>
      <c r="BH14" s="46">
        <f>BL14</f>
        <v>130877.51</v>
      </c>
      <c r="BI14" s="45">
        <v>0</v>
      </c>
      <c r="BJ14" s="45">
        <v>0</v>
      </c>
      <c r="BK14" s="45">
        <v>0</v>
      </c>
      <c r="BL14" s="46">
        <f>33530.81+2600+94746.7</f>
        <v>130877.51</v>
      </c>
      <c r="BM14" s="44">
        <f>BO14+BQ14+BS14+BU14</f>
        <v>83976.400000000009</v>
      </c>
      <c r="BN14" s="45">
        <f>BP14+BR14+BT14+BV14</f>
        <v>24486.219999999998</v>
      </c>
      <c r="BO14" s="45">
        <v>0</v>
      </c>
      <c r="BP14" s="45">
        <v>0</v>
      </c>
      <c r="BQ14" s="45">
        <v>292.60000000000002</v>
      </c>
      <c r="BR14" s="45">
        <v>292.60000000000002</v>
      </c>
      <c r="BS14" s="45">
        <v>0</v>
      </c>
      <c r="BT14" s="45">
        <v>0</v>
      </c>
      <c r="BU14" s="46">
        <f>80974.69+1703.15+903.69+122.27-20</f>
        <v>83683.8</v>
      </c>
      <c r="BV14" s="47">
        <f>21464.53+1703.15+903.69+122.27-0.02</f>
        <v>24193.62</v>
      </c>
      <c r="BW14" s="45">
        <f>CA14</f>
        <v>41924.689999999995</v>
      </c>
      <c r="BX14" s="45">
        <v>0</v>
      </c>
      <c r="BY14" s="45">
        <v>0</v>
      </c>
      <c r="BZ14" s="45">
        <v>0</v>
      </c>
      <c r="CA14" s="45">
        <f>46556.06-6831.37+2600-400</f>
        <v>41924.689999999995</v>
      </c>
      <c r="CB14" s="46">
        <f>CF14</f>
        <v>25340.74</v>
      </c>
      <c r="CC14" s="45">
        <v>0</v>
      </c>
      <c r="CD14" s="45">
        <v>0</v>
      </c>
      <c r="CE14" s="45">
        <v>0</v>
      </c>
      <c r="CF14" s="46">
        <f>23140.74+2600-400</f>
        <v>25340.74</v>
      </c>
      <c r="CG14" s="46">
        <f>CK14</f>
        <v>35730.81</v>
      </c>
      <c r="CH14" s="45">
        <v>0</v>
      </c>
      <c r="CI14" s="45">
        <v>0</v>
      </c>
      <c r="CJ14" s="45">
        <v>0</v>
      </c>
      <c r="CK14" s="46">
        <f>33530.81+2600-400</f>
        <v>35730.81</v>
      </c>
      <c r="CL14" s="46">
        <f>CP14</f>
        <v>35730.81</v>
      </c>
      <c r="CM14" s="45">
        <v>0</v>
      </c>
      <c r="CN14" s="45">
        <v>0</v>
      </c>
      <c r="CO14" s="45">
        <v>0</v>
      </c>
      <c r="CP14" s="46">
        <f>33530.81+2600-400</f>
        <v>35730.81</v>
      </c>
      <c r="CQ14" s="48">
        <v>83976.400000000009</v>
      </c>
      <c r="CR14" s="46">
        <v>0</v>
      </c>
      <c r="CS14" s="46">
        <v>292.60000000000002</v>
      </c>
      <c r="CT14" s="46">
        <v>0</v>
      </c>
      <c r="CU14" s="47">
        <v>83683.8</v>
      </c>
      <c r="CV14" s="44">
        <f>CZ14</f>
        <v>42324.689999999995</v>
      </c>
      <c r="CW14" s="45">
        <v>0</v>
      </c>
      <c r="CX14" s="45">
        <v>0</v>
      </c>
      <c r="CY14" s="45">
        <v>0</v>
      </c>
      <c r="CZ14" s="49">
        <f>46556.06-6831.37+2600</f>
        <v>42324.689999999995</v>
      </c>
      <c r="DA14" s="48">
        <f>DE14</f>
        <v>25740.74</v>
      </c>
      <c r="DB14" s="45">
        <v>0</v>
      </c>
      <c r="DC14" s="45">
        <v>0</v>
      </c>
      <c r="DD14" s="45">
        <v>0</v>
      </c>
      <c r="DE14" s="47">
        <f>23140.74+2600</f>
        <v>25740.74</v>
      </c>
      <c r="DF14" s="48">
        <v>83976.400000000009</v>
      </c>
      <c r="DG14" s="46">
        <v>0</v>
      </c>
      <c r="DH14" s="46">
        <v>292.60000000000002</v>
      </c>
      <c r="DI14" s="45">
        <v>0</v>
      </c>
      <c r="DJ14" s="46">
        <v>83683.8</v>
      </c>
      <c r="DK14" s="45">
        <f>DO14</f>
        <v>41924.689999999995</v>
      </c>
      <c r="DL14" s="45">
        <v>0</v>
      </c>
      <c r="DM14" s="45">
        <v>0</v>
      </c>
      <c r="DN14" s="45">
        <v>0</v>
      </c>
      <c r="DO14" s="45">
        <f>46556.06-6831.37+2600-400</f>
        <v>41924.689999999995</v>
      </c>
      <c r="DP14" s="46">
        <f>DT14</f>
        <v>25340.74</v>
      </c>
      <c r="DQ14" s="45">
        <v>0</v>
      </c>
      <c r="DR14" s="45">
        <v>0</v>
      </c>
      <c r="DS14" s="45">
        <v>0</v>
      </c>
      <c r="DT14" s="46">
        <f>23140.74+2600-400</f>
        <v>25340.74</v>
      </c>
      <c r="DU14" s="50" t="s">
        <v>178</v>
      </c>
    </row>
    <row r="15" spans="1:125" customFormat="1" ht="168.75" x14ac:dyDescent="0.2">
      <c r="A15" s="38" t="s">
        <v>179</v>
      </c>
      <c r="B15" s="38" t="s">
        <v>180</v>
      </c>
      <c r="C15" s="39" t="s">
        <v>181</v>
      </c>
      <c r="D15" s="40" t="s">
        <v>395</v>
      </c>
      <c r="E15" s="40"/>
      <c r="F15" s="40"/>
      <c r="G15" s="40" t="s">
        <v>0</v>
      </c>
      <c r="H15" s="40" t="s">
        <v>0</v>
      </c>
      <c r="I15" s="40" t="s">
        <v>0</v>
      </c>
      <c r="J15" s="40" t="s">
        <v>0</v>
      </c>
      <c r="K15" s="40" t="s">
        <v>0</v>
      </c>
      <c r="L15" s="40" t="s">
        <v>0</v>
      </c>
      <c r="M15" s="40" t="s">
        <v>0</v>
      </c>
      <c r="N15" s="40" t="s">
        <v>396</v>
      </c>
      <c r="O15" s="40" t="s">
        <v>397</v>
      </c>
      <c r="P15" s="40" t="s">
        <v>398</v>
      </c>
      <c r="Q15" s="40" t="s">
        <v>181</v>
      </c>
      <c r="R15" s="40" t="s">
        <v>0</v>
      </c>
      <c r="S15" s="40" t="s">
        <v>0</v>
      </c>
      <c r="T15" s="40" t="s">
        <v>0</v>
      </c>
      <c r="U15" s="40" t="s">
        <v>0</v>
      </c>
      <c r="V15" s="40" t="s">
        <v>0</v>
      </c>
      <c r="W15" s="40" t="s">
        <v>0</v>
      </c>
      <c r="X15" s="40" t="s">
        <v>0</v>
      </c>
      <c r="Y15" s="40" t="s">
        <v>0</v>
      </c>
      <c r="Z15" s="40" t="s">
        <v>0</v>
      </c>
      <c r="AA15" s="51"/>
      <c r="AB15" s="40" t="s">
        <v>0</v>
      </c>
      <c r="AC15" s="40" t="s">
        <v>0</v>
      </c>
      <c r="AD15" s="40" t="s">
        <v>478</v>
      </c>
      <c r="AE15" s="41"/>
      <c r="AF15" s="41"/>
      <c r="AG15" s="42" t="s">
        <v>46</v>
      </c>
      <c r="AH15" s="43" t="s">
        <v>182</v>
      </c>
      <c r="AI15" s="44">
        <f t="shared" ref="AI15:AI39" si="115">AK15+AM15+AO15+AQ15</f>
        <v>56218.26</v>
      </c>
      <c r="AJ15" s="45">
        <f t="shared" ref="AJ15:AJ39" si="116">AL15+AN15+AP15+AR15</f>
        <v>42646.36</v>
      </c>
      <c r="AK15" s="45">
        <v>0</v>
      </c>
      <c r="AL15" s="52">
        <v>0</v>
      </c>
      <c r="AM15" s="45">
        <v>0</v>
      </c>
      <c r="AN15" s="45">
        <v>0</v>
      </c>
      <c r="AO15" s="45">
        <v>0</v>
      </c>
      <c r="AP15" s="45">
        <v>0</v>
      </c>
      <c r="AQ15" s="46">
        <f>554+55664.26</f>
        <v>56218.26</v>
      </c>
      <c r="AR15" s="46">
        <f>554+42092.36</f>
        <v>42646.36</v>
      </c>
      <c r="AS15" s="45">
        <f>AW15</f>
        <v>63650</v>
      </c>
      <c r="AT15" s="45">
        <v>0</v>
      </c>
      <c r="AU15" s="45">
        <v>0</v>
      </c>
      <c r="AV15" s="45">
        <v>0</v>
      </c>
      <c r="AW15" s="45">
        <v>63650</v>
      </c>
      <c r="AX15" s="45">
        <f>BB15</f>
        <v>49048.7</v>
      </c>
      <c r="AY15" s="45">
        <v>0</v>
      </c>
      <c r="AZ15" s="45">
        <v>0</v>
      </c>
      <c r="BA15" s="45">
        <v>0</v>
      </c>
      <c r="BB15" s="45">
        <v>49048.7</v>
      </c>
      <c r="BC15" s="45">
        <f>BG15</f>
        <v>27455.9</v>
      </c>
      <c r="BD15" s="45">
        <v>0</v>
      </c>
      <c r="BE15" s="45">
        <v>0</v>
      </c>
      <c r="BF15" s="45">
        <v>0</v>
      </c>
      <c r="BG15" s="45">
        <v>27455.9</v>
      </c>
      <c r="BH15" s="45">
        <f>BL15</f>
        <v>27455.9</v>
      </c>
      <c r="BI15" s="45">
        <v>0</v>
      </c>
      <c r="BJ15" s="45">
        <v>0</v>
      </c>
      <c r="BK15" s="45">
        <v>0</v>
      </c>
      <c r="BL15" s="45">
        <v>27455.9</v>
      </c>
      <c r="BM15" s="44">
        <f t="shared" ref="BM15:BM39" si="117">BO15+BQ15+BS15+BU15</f>
        <v>38668.770000000004</v>
      </c>
      <c r="BN15" s="45">
        <f t="shared" ref="BN15:BN39" si="118">BP15+BR15+BT15+BV15</f>
        <v>27893.180000000004</v>
      </c>
      <c r="BO15" s="45">
        <v>0</v>
      </c>
      <c r="BP15" s="52">
        <v>0</v>
      </c>
      <c r="BQ15" s="45">
        <v>0</v>
      </c>
      <c r="BR15" s="45">
        <v>0</v>
      </c>
      <c r="BS15" s="45">
        <v>0</v>
      </c>
      <c r="BT15" s="45">
        <v>0</v>
      </c>
      <c r="BU15" s="46">
        <f>554+55664.26-3821.89-900-2603.65-6.36-1180.14-148.7-6038.19-83.38-135.72-2631.46</f>
        <v>38668.770000000004</v>
      </c>
      <c r="BV15" s="47">
        <f>554+42092.36-3101.89-390.98-2335.88-6.36-1073.03-148.7-4845.78-83.38-135.72-2631.46</f>
        <v>27893.180000000004</v>
      </c>
      <c r="BW15" s="45">
        <f>CA15</f>
        <v>36847.100000000006</v>
      </c>
      <c r="BX15" s="45">
        <v>0</v>
      </c>
      <c r="BY15" s="45">
        <v>0</v>
      </c>
      <c r="BZ15" s="45">
        <v>0</v>
      </c>
      <c r="CA15" s="45">
        <f>94717.1-3500-32500-7500-10370-4000</f>
        <v>36847.100000000006</v>
      </c>
      <c r="CB15" s="45">
        <f>CF15</f>
        <v>24738.84</v>
      </c>
      <c r="CC15" s="45">
        <v>0</v>
      </c>
      <c r="CD15" s="45">
        <v>0</v>
      </c>
      <c r="CE15" s="45">
        <v>0</v>
      </c>
      <c r="CF15" s="45">
        <f>24738.84</f>
        <v>24738.84</v>
      </c>
      <c r="CG15" s="45">
        <f>CK15</f>
        <v>24738.84</v>
      </c>
      <c r="CH15" s="45">
        <v>0</v>
      </c>
      <c r="CI15" s="45">
        <v>0</v>
      </c>
      <c r="CJ15" s="45">
        <v>0</v>
      </c>
      <c r="CK15" s="45">
        <f>24738.84</f>
        <v>24738.84</v>
      </c>
      <c r="CL15" s="45">
        <f>CP15</f>
        <v>24738.84</v>
      </c>
      <c r="CM15" s="45">
        <v>0</v>
      </c>
      <c r="CN15" s="45">
        <v>0</v>
      </c>
      <c r="CO15" s="45">
        <v>0</v>
      </c>
      <c r="CP15" s="45">
        <f>24738.84</f>
        <v>24738.84</v>
      </c>
      <c r="CQ15" s="48">
        <v>56218.26</v>
      </c>
      <c r="CR15" s="46">
        <v>0</v>
      </c>
      <c r="CS15" s="46">
        <v>0</v>
      </c>
      <c r="CT15" s="46">
        <v>0</v>
      </c>
      <c r="CU15" s="47">
        <v>56218.26</v>
      </c>
      <c r="CV15" s="44">
        <f>CZ15</f>
        <v>94717.1</v>
      </c>
      <c r="CW15" s="45">
        <v>0</v>
      </c>
      <c r="CX15" s="45">
        <v>0</v>
      </c>
      <c r="CY15" s="45">
        <v>0</v>
      </c>
      <c r="CZ15" s="49">
        <f>94717.1</f>
        <v>94717.1</v>
      </c>
      <c r="DA15" s="44">
        <f>DE15</f>
        <v>24738.84</v>
      </c>
      <c r="DB15" s="45">
        <v>0</v>
      </c>
      <c r="DC15" s="45">
        <v>0</v>
      </c>
      <c r="DD15" s="45">
        <v>0</v>
      </c>
      <c r="DE15" s="49">
        <f>24738.84</f>
        <v>24738.84</v>
      </c>
      <c r="DF15" s="48">
        <v>38668.770000000004</v>
      </c>
      <c r="DG15" s="46">
        <v>0</v>
      </c>
      <c r="DH15" s="46">
        <v>0</v>
      </c>
      <c r="DI15" s="45">
        <v>0</v>
      </c>
      <c r="DJ15" s="46">
        <v>38668.770000000004</v>
      </c>
      <c r="DK15" s="45">
        <f>DO15</f>
        <v>36847.100000000006</v>
      </c>
      <c r="DL15" s="45">
        <v>0</v>
      </c>
      <c r="DM15" s="45">
        <v>0</v>
      </c>
      <c r="DN15" s="45">
        <v>0</v>
      </c>
      <c r="DO15" s="45">
        <f>94717.1-3500-32500-7500-10370-4000</f>
        <v>36847.100000000006</v>
      </c>
      <c r="DP15" s="45">
        <f>DT15</f>
        <v>24738.84</v>
      </c>
      <c r="DQ15" s="45">
        <v>0</v>
      </c>
      <c r="DR15" s="45">
        <v>0</v>
      </c>
      <c r="DS15" s="45">
        <v>0</v>
      </c>
      <c r="DT15" s="45">
        <f>24738.84</f>
        <v>24738.84</v>
      </c>
      <c r="DU15" s="50" t="s">
        <v>178</v>
      </c>
    </row>
    <row r="16" spans="1:125" customFormat="1" ht="281.25" x14ac:dyDescent="0.2">
      <c r="A16" s="38" t="s">
        <v>183</v>
      </c>
      <c r="B16" s="38" t="s">
        <v>184</v>
      </c>
      <c r="C16" s="39" t="s">
        <v>185</v>
      </c>
      <c r="D16" s="40" t="s">
        <v>399</v>
      </c>
      <c r="E16" s="40"/>
      <c r="F16" s="40" t="s">
        <v>400</v>
      </c>
      <c r="G16" s="40" t="s">
        <v>0</v>
      </c>
      <c r="H16" s="40" t="s">
        <v>0</v>
      </c>
      <c r="I16" s="40" t="s">
        <v>0</v>
      </c>
      <c r="J16" s="13" t="s">
        <v>0</v>
      </c>
      <c r="K16" s="40" t="s">
        <v>402</v>
      </c>
      <c r="L16" s="40" t="s">
        <v>0</v>
      </c>
      <c r="M16" s="40" t="s">
        <v>0</v>
      </c>
      <c r="N16" s="40" t="s">
        <v>0</v>
      </c>
      <c r="O16" s="40" t="s">
        <v>0</v>
      </c>
      <c r="P16" s="40" t="s">
        <v>0</v>
      </c>
      <c r="Q16" s="13" t="s">
        <v>0</v>
      </c>
      <c r="R16" s="40" t="s">
        <v>0</v>
      </c>
      <c r="S16" s="40" t="s">
        <v>0</v>
      </c>
      <c r="T16" s="40" t="s">
        <v>0</v>
      </c>
      <c r="U16" s="40" t="s">
        <v>0</v>
      </c>
      <c r="V16" s="40" t="s">
        <v>0</v>
      </c>
      <c r="W16" s="40" t="s">
        <v>0</v>
      </c>
      <c r="X16" s="40" t="s">
        <v>401</v>
      </c>
      <c r="Y16" s="40" t="s">
        <v>0</v>
      </c>
      <c r="Z16" s="40" t="s">
        <v>0</v>
      </c>
      <c r="AA16" s="40" t="s">
        <v>403</v>
      </c>
      <c r="AB16" s="40" t="s">
        <v>0</v>
      </c>
      <c r="AC16" s="40" t="s">
        <v>0</v>
      </c>
      <c r="AD16" s="40" t="s">
        <v>479</v>
      </c>
      <c r="AE16" s="41"/>
      <c r="AF16" s="41"/>
      <c r="AG16" s="42" t="s">
        <v>48</v>
      </c>
      <c r="AH16" s="43" t="s">
        <v>186</v>
      </c>
      <c r="AI16" s="44">
        <f t="shared" si="115"/>
        <v>83792.58</v>
      </c>
      <c r="AJ16" s="45">
        <f t="shared" si="116"/>
        <v>76926.69</v>
      </c>
      <c r="AK16" s="45">
        <v>0</v>
      </c>
      <c r="AL16" s="52">
        <v>0</v>
      </c>
      <c r="AM16" s="45">
        <v>29649.599999999999</v>
      </c>
      <c r="AN16" s="45">
        <v>29649.599999999999</v>
      </c>
      <c r="AO16" s="45">
        <v>0</v>
      </c>
      <c r="AP16" s="45">
        <v>0</v>
      </c>
      <c r="AQ16" s="46">
        <v>54142.98</v>
      </c>
      <c r="AR16" s="46">
        <v>47277.090000000004</v>
      </c>
      <c r="AS16" s="45">
        <f>SUM(AT16:AW16)</f>
        <v>150813.70000000001</v>
      </c>
      <c r="AT16" s="45">
        <v>0</v>
      </c>
      <c r="AU16" s="45">
        <f>74991</f>
        <v>74991</v>
      </c>
      <c r="AV16" s="45">
        <v>0</v>
      </c>
      <c r="AW16" s="45">
        <v>75822.7</v>
      </c>
      <c r="AX16" s="45">
        <f>SUM(AY16:BB16)</f>
        <v>75664.5</v>
      </c>
      <c r="AY16" s="45">
        <v>0</v>
      </c>
      <c r="AZ16" s="45"/>
      <c r="BA16" s="45">
        <v>60000</v>
      </c>
      <c r="BB16" s="45">
        <f>75664.5-60000</f>
        <v>15664.5</v>
      </c>
      <c r="BC16" s="45">
        <v>15664.4</v>
      </c>
      <c r="BD16" s="45">
        <v>0</v>
      </c>
      <c r="BE16" s="45"/>
      <c r="BF16" s="45">
        <v>0</v>
      </c>
      <c r="BG16" s="45">
        <f>BC16-BE16</f>
        <v>15664.4</v>
      </c>
      <c r="BH16" s="45">
        <v>15664.4</v>
      </c>
      <c r="BI16" s="45">
        <v>0</v>
      </c>
      <c r="BJ16" s="45"/>
      <c r="BK16" s="45">
        <v>0</v>
      </c>
      <c r="BL16" s="49">
        <f>BH16-BJ16</f>
        <v>15664.4</v>
      </c>
      <c r="BM16" s="44">
        <f t="shared" si="117"/>
        <v>15665.490000000003</v>
      </c>
      <c r="BN16" s="45">
        <f t="shared" si="118"/>
        <v>13162.099999999997</v>
      </c>
      <c r="BO16" s="45">
        <v>0</v>
      </c>
      <c r="BP16" s="52">
        <v>0</v>
      </c>
      <c r="BQ16" s="45">
        <f>29649.6-29649.6</f>
        <v>0</v>
      </c>
      <c r="BR16" s="45">
        <f>29649.6-29649.6</f>
        <v>0</v>
      </c>
      <c r="BS16" s="45">
        <v>0</v>
      </c>
      <c r="BT16" s="45">
        <v>0</v>
      </c>
      <c r="BU16" s="46">
        <f>54142.98-22500-15977.49</f>
        <v>15665.490000000003</v>
      </c>
      <c r="BV16" s="47">
        <f>47277.09-18137.5-15977.49</f>
        <v>13162.099999999997</v>
      </c>
      <c r="BW16" s="45">
        <f>SUBTOTAL(9,BX16:CA16)</f>
        <v>18289.86</v>
      </c>
      <c r="BX16" s="45">
        <v>0</v>
      </c>
      <c r="BY16" s="45">
        <v>0</v>
      </c>
      <c r="BZ16" s="45">
        <v>0</v>
      </c>
      <c r="CA16" s="45">
        <f>73945.87-13125.31-42530.7</f>
        <v>18289.86</v>
      </c>
      <c r="CB16" s="45">
        <v>35664.49</v>
      </c>
      <c r="CC16" s="45">
        <v>0</v>
      </c>
      <c r="CD16" s="45"/>
      <c r="CE16" s="45">
        <v>0</v>
      </c>
      <c r="CF16" s="45">
        <f>CB16-CD16</f>
        <v>35664.49</v>
      </c>
      <c r="CG16" s="45">
        <v>35664.49</v>
      </c>
      <c r="CH16" s="45">
        <v>0</v>
      </c>
      <c r="CI16" s="45"/>
      <c r="CJ16" s="45">
        <v>0</v>
      </c>
      <c r="CK16" s="45">
        <f>CG16-CI16</f>
        <v>35664.49</v>
      </c>
      <c r="CL16" s="45">
        <v>35664.49</v>
      </c>
      <c r="CM16" s="45">
        <v>0</v>
      </c>
      <c r="CN16" s="45"/>
      <c r="CO16" s="45">
        <v>0</v>
      </c>
      <c r="CP16" s="49">
        <f>CL16-CN16</f>
        <v>35664.49</v>
      </c>
      <c r="CQ16" s="48">
        <v>83792.58</v>
      </c>
      <c r="CR16" s="46">
        <v>0</v>
      </c>
      <c r="CS16" s="46">
        <v>29649.599999999999</v>
      </c>
      <c r="CT16" s="46">
        <v>0</v>
      </c>
      <c r="CU16" s="47">
        <v>54142.98</v>
      </c>
      <c r="CV16" s="44">
        <v>73945.87</v>
      </c>
      <c r="CW16" s="45">
        <v>0</v>
      </c>
      <c r="CX16" s="45">
        <v>0</v>
      </c>
      <c r="CY16" s="45">
        <v>0</v>
      </c>
      <c r="CZ16" s="49">
        <f>CV16-CX16</f>
        <v>73945.87</v>
      </c>
      <c r="DA16" s="44">
        <v>35664.49</v>
      </c>
      <c r="DB16" s="45">
        <v>0</v>
      </c>
      <c r="DC16" s="45"/>
      <c r="DD16" s="45">
        <v>0</v>
      </c>
      <c r="DE16" s="49">
        <f>DA16-DC16</f>
        <v>35664.49</v>
      </c>
      <c r="DF16" s="48">
        <v>15665.490000000003</v>
      </c>
      <c r="DG16" s="46">
        <v>0</v>
      </c>
      <c r="DH16" s="46">
        <v>0</v>
      </c>
      <c r="DI16" s="45">
        <v>0</v>
      </c>
      <c r="DJ16" s="46">
        <v>15665.490000000003</v>
      </c>
      <c r="DK16" s="45">
        <f>SUBTOTAL(9,DL16:DO16)</f>
        <v>18289.86</v>
      </c>
      <c r="DL16" s="45">
        <v>0</v>
      </c>
      <c r="DM16" s="45">
        <v>0</v>
      </c>
      <c r="DN16" s="45">
        <v>0</v>
      </c>
      <c r="DO16" s="45">
        <f>73945.87-13125.31-42530.7</f>
        <v>18289.86</v>
      </c>
      <c r="DP16" s="45">
        <v>35664.49</v>
      </c>
      <c r="DQ16" s="45">
        <v>0</v>
      </c>
      <c r="DR16" s="45"/>
      <c r="DS16" s="45">
        <v>0</v>
      </c>
      <c r="DT16" s="45">
        <f>DP16-DR16</f>
        <v>35664.49</v>
      </c>
      <c r="DU16" s="50" t="s">
        <v>178</v>
      </c>
    </row>
    <row r="17" spans="1:125" customFormat="1" ht="135" x14ac:dyDescent="0.2">
      <c r="A17" s="38" t="s">
        <v>187</v>
      </c>
      <c r="B17" s="38" t="s">
        <v>188</v>
      </c>
      <c r="C17" s="39" t="s">
        <v>189</v>
      </c>
      <c r="D17" s="40" t="s">
        <v>393</v>
      </c>
      <c r="E17" s="40"/>
      <c r="F17" s="40" t="s">
        <v>404</v>
      </c>
      <c r="G17" s="40" t="s">
        <v>0</v>
      </c>
      <c r="H17" s="40" t="s">
        <v>0</v>
      </c>
      <c r="I17" s="40" t="s">
        <v>0</v>
      </c>
      <c r="J17" s="13" t="s">
        <v>0</v>
      </c>
      <c r="K17" s="40" t="s">
        <v>405</v>
      </c>
      <c r="L17" s="40" t="s">
        <v>0</v>
      </c>
      <c r="M17" s="40" t="s">
        <v>0</v>
      </c>
      <c r="N17" s="40" t="s">
        <v>0</v>
      </c>
      <c r="O17" s="40" t="s">
        <v>0</v>
      </c>
      <c r="P17" s="40" t="s">
        <v>0</v>
      </c>
      <c r="Q17" s="13" t="s">
        <v>0</v>
      </c>
      <c r="R17" s="40" t="s">
        <v>0</v>
      </c>
      <c r="S17" s="40" t="s">
        <v>0</v>
      </c>
      <c r="T17" s="40" t="s">
        <v>0</v>
      </c>
      <c r="U17" s="40" t="s">
        <v>0</v>
      </c>
      <c r="V17" s="40" t="s">
        <v>0</v>
      </c>
      <c r="W17" s="40" t="s">
        <v>0</v>
      </c>
      <c r="X17" s="40"/>
      <c r="Y17" s="40" t="s">
        <v>0</v>
      </c>
      <c r="Z17" s="40" t="s">
        <v>0</v>
      </c>
      <c r="AA17" s="40"/>
      <c r="AB17" s="40" t="s">
        <v>397</v>
      </c>
      <c r="AC17" s="40" t="s">
        <v>406</v>
      </c>
      <c r="AD17" s="40" t="s">
        <v>480</v>
      </c>
      <c r="AE17" s="41"/>
      <c r="AF17" s="41"/>
      <c r="AG17" s="42" t="s">
        <v>49</v>
      </c>
      <c r="AH17" s="43" t="s">
        <v>182</v>
      </c>
      <c r="AI17" s="44">
        <f t="shared" si="115"/>
        <v>1175.29</v>
      </c>
      <c r="AJ17" s="45">
        <f t="shared" si="116"/>
        <v>1175.29</v>
      </c>
      <c r="AK17" s="45">
        <v>0</v>
      </c>
      <c r="AL17" s="52">
        <v>0</v>
      </c>
      <c r="AM17" s="45">
        <v>0</v>
      </c>
      <c r="AN17" s="45">
        <v>0</v>
      </c>
      <c r="AO17" s="45">
        <v>0</v>
      </c>
      <c r="AP17" s="45">
        <v>0</v>
      </c>
      <c r="AQ17" s="46">
        <v>1175.29</v>
      </c>
      <c r="AR17" s="46">
        <v>1175.29</v>
      </c>
      <c r="AS17" s="53">
        <v>2288.1999999999998</v>
      </c>
      <c r="AT17" s="45">
        <v>0</v>
      </c>
      <c r="AU17" s="45">
        <v>0</v>
      </c>
      <c r="AV17" s="45">
        <v>0</v>
      </c>
      <c r="AW17" s="45">
        <f>AS17</f>
        <v>2288.1999999999998</v>
      </c>
      <c r="AX17" s="45">
        <f>SUM(AY17:BB17)</f>
        <v>1390.6</v>
      </c>
      <c r="AY17" s="45">
        <v>0</v>
      </c>
      <c r="AZ17" s="45">
        <v>0</v>
      </c>
      <c r="BA17" s="45">
        <v>0</v>
      </c>
      <c r="BB17" s="45">
        <v>1390.6</v>
      </c>
      <c r="BC17" s="45">
        <f>BG17</f>
        <v>1499</v>
      </c>
      <c r="BD17" s="45">
        <v>0</v>
      </c>
      <c r="BE17" s="45">
        <v>0</v>
      </c>
      <c r="BF17" s="45">
        <v>0</v>
      </c>
      <c r="BG17" s="45">
        <v>1499</v>
      </c>
      <c r="BH17" s="45">
        <v>0</v>
      </c>
      <c r="BI17" s="45">
        <v>0</v>
      </c>
      <c r="BJ17" s="45">
        <v>0</v>
      </c>
      <c r="BK17" s="45">
        <v>0</v>
      </c>
      <c r="BL17" s="49">
        <f>BH17</f>
        <v>0</v>
      </c>
      <c r="BM17" s="44">
        <f t="shared" si="117"/>
        <v>1175.29</v>
      </c>
      <c r="BN17" s="45">
        <f t="shared" si="118"/>
        <v>1175.29</v>
      </c>
      <c r="BO17" s="45">
        <v>0</v>
      </c>
      <c r="BP17" s="52">
        <v>0</v>
      </c>
      <c r="BQ17" s="45">
        <v>0</v>
      </c>
      <c r="BR17" s="45">
        <v>0</v>
      </c>
      <c r="BS17" s="45">
        <v>0</v>
      </c>
      <c r="BT17" s="45">
        <v>0</v>
      </c>
      <c r="BU17" s="46">
        <v>1175.29</v>
      </c>
      <c r="BV17" s="47">
        <v>1175.29</v>
      </c>
      <c r="BW17" s="53">
        <v>1175.29</v>
      </c>
      <c r="BX17" s="45">
        <v>0</v>
      </c>
      <c r="BY17" s="45">
        <v>0</v>
      </c>
      <c r="BZ17" s="45">
        <v>0</v>
      </c>
      <c r="CA17" s="45">
        <f>BW17</f>
        <v>1175.29</v>
      </c>
      <c r="CB17" s="45">
        <v>0</v>
      </c>
      <c r="CC17" s="45">
        <v>0</v>
      </c>
      <c r="CD17" s="45">
        <v>0</v>
      </c>
      <c r="CE17" s="45">
        <v>0</v>
      </c>
      <c r="CF17" s="45">
        <f>CB17</f>
        <v>0</v>
      </c>
      <c r="CG17" s="45">
        <v>0</v>
      </c>
      <c r="CH17" s="45">
        <v>0</v>
      </c>
      <c r="CI17" s="45">
        <v>0</v>
      </c>
      <c r="CJ17" s="45">
        <v>0</v>
      </c>
      <c r="CK17" s="45">
        <f>CG17</f>
        <v>0</v>
      </c>
      <c r="CL17" s="45">
        <v>0</v>
      </c>
      <c r="CM17" s="45">
        <v>0</v>
      </c>
      <c r="CN17" s="45">
        <v>0</v>
      </c>
      <c r="CO17" s="45">
        <v>0</v>
      </c>
      <c r="CP17" s="49">
        <f>CL17</f>
        <v>0</v>
      </c>
      <c r="CQ17" s="48">
        <v>1175.29</v>
      </c>
      <c r="CR17" s="46">
        <v>0</v>
      </c>
      <c r="CS17" s="46">
        <v>0</v>
      </c>
      <c r="CT17" s="46">
        <v>0</v>
      </c>
      <c r="CU17" s="47">
        <v>1175.29</v>
      </c>
      <c r="CV17" s="54">
        <v>1175.29</v>
      </c>
      <c r="CW17" s="45">
        <v>0</v>
      </c>
      <c r="CX17" s="45">
        <v>0</v>
      </c>
      <c r="CY17" s="45">
        <v>0</v>
      </c>
      <c r="CZ17" s="49">
        <f>CV17</f>
        <v>1175.29</v>
      </c>
      <c r="DA17" s="44">
        <v>0</v>
      </c>
      <c r="DB17" s="45">
        <v>0</v>
      </c>
      <c r="DC17" s="45">
        <v>0</v>
      </c>
      <c r="DD17" s="45">
        <v>0</v>
      </c>
      <c r="DE17" s="49">
        <f>DA17</f>
        <v>0</v>
      </c>
      <c r="DF17" s="48">
        <v>1175.29</v>
      </c>
      <c r="DG17" s="46">
        <v>0</v>
      </c>
      <c r="DH17" s="46">
        <v>0</v>
      </c>
      <c r="DI17" s="45">
        <v>0</v>
      </c>
      <c r="DJ17" s="46">
        <v>1175.29</v>
      </c>
      <c r="DK17" s="53">
        <v>1175.29</v>
      </c>
      <c r="DL17" s="45">
        <v>0</v>
      </c>
      <c r="DM17" s="45">
        <v>0</v>
      </c>
      <c r="DN17" s="45">
        <v>0</v>
      </c>
      <c r="DO17" s="45">
        <f>DK17</f>
        <v>1175.29</v>
      </c>
      <c r="DP17" s="45">
        <v>0</v>
      </c>
      <c r="DQ17" s="45">
        <v>0</v>
      </c>
      <c r="DR17" s="45">
        <v>0</v>
      </c>
      <c r="DS17" s="45">
        <v>0</v>
      </c>
      <c r="DT17" s="45">
        <f>DP17</f>
        <v>0</v>
      </c>
      <c r="DU17" s="50" t="s">
        <v>190</v>
      </c>
    </row>
    <row r="18" spans="1:125" customFormat="1" ht="393.75" x14ac:dyDescent="0.2">
      <c r="A18" s="38" t="s">
        <v>191</v>
      </c>
      <c r="B18" s="38" t="s">
        <v>192</v>
      </c>
      <c r="C18" s="39" t="s">
        <v>193</v>
      </c>
      <c r="D18" s="40" t="s">
        <v>407</v>
      </c>
      <c r="E18" s="40"/>
      <c r="F18" s="40" t="s">
        <v>404</v>
      </c>
      <c r="G18" s="40" t="s">
        <v>0</v>
      </c>
      <c r="H18" s="40" t="s">
        <v>0</v>
      </c>
      <c r="I18" s="40" t="s">
        <v>0</v>
      </c>
      <c r="J18" s="13" t="s">
        <v>0</v>
      </c>
      <c r="K18" s="40" t="s">
        <v>0</v>
      </c>
      <c r="L18" s="40" t="s">
        <v>0</v>
      </c>
      <c r="M18" s="40" t="s">
        <v>0</v>
      </c>
      <c r="N18" s="40" t="s">
        <v>0</v>
      </c>
      <c r="O18" s="40" t="s">
        <v>0</v>
      </c>
      <c r="P18" s="40" t="s">
        <v>0</v>
      </c>
      <c r="Q18" s="13" t="s">
        <v>0</v>
      </c>
      <c r="R18" s="40" t="s">
        <v>0</v>
      </c>
      <c r="S18" s="40" t="s">
        <v>0</v>
      </c>
      <c r="T18" s="40" t="s">
        <v>0</v>
      </c>
      <c r="U18" s="40" t="s">
        <v>0</v>
      </c>
      <c r="V18" s="40" t="s">
        <v>0</v>
      </c>
      <c r="W18" s="40" t="s">
        <v>0</v>
      </c>
      <c r="X18" s="40" t="s">
        <v>408</v>
      </c>
      <c r="Y18" s="40" t="s">
        <v>0</v>
      </c>
      <c r="Z18" s="40" t="s">
        <v>0</v>
      </c>
      <c r="AA18" s="40" t="s">
        <v>409</v>
      </c>
      <c r="AB18" s="40" t="s">
        <v>397</v>
      </c>
      <c r="AC18" s="40" t="s">
        <v>406</v>
      </c>
      <c r="AD18" s="40" t="s">
        <v>481</v>
      </c>
      <c r="AE18" s="41"/>
      <c r="AF18" s="41"/>
      <c r="AG18" s="42" t="s">
        <v>49</v>
      </c>
      <c r="AH18" s="43" t="s">
        <v>194</v>
      </c>
      <c r="AI18" s="44">
        <f t="shared" si="115"/>
        <v>4213.97</v>
      </c>
      <c r="AJ18" s="45">
        <f t="shared" si="116"/>
        <v>2704.27</v>
      </c>
      <c r="AK18" s="45">
        <v>0</v>
      </c>
      <c r="AL18" s="52">
        <v>0</v>
      </c>
      <c r="AM18" s="45">
        <v>0</v>
      </c>
      <c r="AN18" s="45">
        <v>0</v>
      </c>
      <c r="AO18" s="45">
        <v>0</v>
      </c>
      <c r="AP18" s="45">
        <v>0</v>
      </c>
      <c r="AQ18" s="46">
        <v>4213.97</v>
      </c>
      <c r="AR18" s="46">
        <v>2704.27</v>
      </c>
      <c r="AS18" s="53">
        <v>4383.3</v>
      </c>
      <c r="AT18" s="45">
        <v>0</v>
      </c>
      <c r="AU18" s="45">
        <v>0</v>
      </c>
      <c r="AV18" s="45">
        <v>0</v>
      </c>
      <c r="AW18" s="45">
        <f>AS18</f>
        <v>4383.3</v>
      </c>
      <c r="AX18" s="53">
        <f>SUM(AY18:BB18)</f>
        <v>52545.97</v>
      </c>
      <c r="AY18" s="45">
        <v>0</v>
      </c>
      <c r="AZ18" s="45">
        <v>0</v>
      </c>
      <c r="BA18" s="45">
        <v>48332</v>
      </c>
      <c r="BB18" s="45">
        <f>52545.97-48332</f>
        <v>4213.9700000000012</v>
      </c>
      <c r="BC18" s="53">
        <v>4213.97</v>
      </c>
      <c r="BD18" s="45">
        <v>0</v>
      </c>
      <c r="BE18" s="45">
        <v>0</v>
      </c>
      <c r="BF18" s="45">
        <v>0</v>
      </c>
      <c r="BG18" s="45">
        <f>BC18</f>
        <v>4213.97</v>
      </c>
      <c r="BH18" s="53">
        <v>4213.97</v>
      </c>
      <c r="BI18" s="45">
        <v>0</v>
      </c>
      <c r="BJ18" s="45">
        <v>0</v>
      </c>
      <c r="BK18" s="45">
        <v>0</v>
      </c>
      <c r="BL18" s="49">
        <f>BH18</f>
        <v>4213.97</v>
      </c>
      <c r="BM18" s="44">
        <f t="shared" si="117"/>
        <v>4213.97</v>
      </c>
      <c r="BN18" s="45">
        <f t="shared" si="118"/>
        <v>2704.27</v>
      </c>
      <c r="BO18" s="45">
        <v>0</v>
      </c>
      <c r="BP18" s="52">
        <v>0</v>
      </c>
      <c r="BQ18" s="45">
        <v>0</v>
      </c>
      <c r="BR18" s="45">
        <v>0</v>
      </c>
      <c r="BS18" s="45">
        <v>0</v>
      </c>
      <c r="BT18" s="45">
        <v>0</v>
      </c>
      <c r="BU18" s="46">
        <v>4213.97</v>
      </c>
      <c r="BV18" s="47">
        <v>2704.27</v>
      </c>
      <c r="BW18" s="53">
        <v>4213.97</v>
      </c>
      <c r="BX18" s="45">
        <v>0</v>
      </c>
      <c r="BY18" s="45">
        <v>0</v>
      </c>
      <c r="BZ18" s="45">
        <v>0</v>
      </c>
      <c r="CA18" s="45">
        <f>BW18</f>
        <v>4213.97</v>
      </c>
      <c r="CB18" s="53">
        <v>4213.97</v>
      </c>
      <c r="CC18" s="45">
        <v>0</v>
      </c>
      <c r="CD18" s="45">
        <v>0</v>
      </c>
      <c r="CE18" s="45">
        <v>0</v>
      </c>
      <c r="CF18" s="45">
        <f>CB18</f>
        <v>4213.97</v>
      </c>
      <c r="CG18" s="53">
        <v>4213.97</v>
      </c>
      <c r="CH18" s="45">
        <v>0</v>
      </c>
      <c r="CI18" s="45">
        <v>0</v>
      </c>
      <c r="CJ18" s="45">
        <v>0</v>
      </c>
      <c r="CK18" s="45">
        <f>CG18</f>
        <v>4213.97</v>
      </c>
      <c r="CL18" s="53">
        <v>4213.97</v>
      </c>
      <c r="CM18" s="45">
        <v>0</v>
      </c>
      <c r="CN18" s="45">
        <v>0</v>
      </c>
      <c r="CO18" s="45">
        <v>0</v>
      </c>
      <c r="CP18" s="49">
        <f>CL18</f>
        <v>4213.97</v>
      </c>
      <c r="CQ18" s="48">
        <v>4213.97</v>
      </c>
      <c r="CR18" s="46">
        <v>0</v>
      </c>
      <c r="CS18" s="46">
        <v>0</v>
      </c>
      <c r="CT18" s="46">
        <v>0</v>
      </c>
      <c r="CU18" s="47">
        <v>4213.97</v>
      </c>
      <c r="CV18" s="54">
        <v>4213.97</v>
      </c>
      <c r="CW18" s="45">
        <v>0</v>
      </c>
      <c r="CX18" s="45">
        <v>0</v>
      </c>
      <c r="CY18" s="45">
        <v>0</v>
      </c>
      <c r="CZ18" s="49">
        <f>CV18</f>
        <v>4213.97</v>
      </c>
      <c r="DA18" s="54">
        <v>4213.97</v>
      </c>
      <c r="DB18" s="45">
        <v>0</v>
      </c>
      <c r="DC18" s="45">
        <v>0</v>
      </c>
      <c r="DD18" s="45">
        <v>0</v>
      </c>
      <c r="DE18" s="49">
        <f>DA18</f>
        <v>4213.97</v>
      </c>
      <c r="DF18" s="48">
        <v>4213.97</v>
      </c>
      <c r="DG18" s="46">
        <v>0</v>
      </c>
      <c r="DH18" s="46">
        <v>0</v>
      </c>
      <c r="DI18" s="45">
        <v>0</v>
      </c>
      <c r="DJ18" s="46">
        <v>4213.97</v>
      </c>
      <c r="DK18" s="53">
        <v>4213.97</v>
      </c>
      <c r="DL18" s="45">
        <v>0</v>
      </c>
      <c r="DM18" s="45">
        <v>0</v>
      </c>
      <c r="DN18" s="45">
        <v>0</v>
      </c>
      <c r="DO18" s="45">
        <f>DK18</f>
        <v>4213.97</v>
      </c>
      <c r="DP18" s="53">
        <v>4213.97</v>
      </c>
      <c r="DQ18" s="45">
        <v>0</v>
      </c>
      <c r="DR18" s="45">
        <v>0</v>
      </c>
      <c r="DS18" s="45">
        <v>0</v>
      </c>
      <c r="DT18" s="45">
        <f>DP18</f>
        <v>4213.97</v>
      </c>
      <c r="DU18" s="50" t="s">
        <v>190</v>
      </c>
    </row>
    <row r="19" spans="1:125" customFormat="1" ht="146.25" x14ac:dyDescent="0.2">
      <c r="A19" s="38" t="s">
        <v>616</v>
      </c>
      <c r="B19" s="38" t="s">
        <v>617</v>
      </c>
      <c r="C19" s="39" t="s">
        <v>618</v>
      </c>
      <c r="D19" s="55" t="s">
        <v>619</v>
      </c>
      <c r="E19" s="55" t="s">
        <v>397</v>
      </c>
      <c r="F19" s="55" t="s">
        <v>620</v>
      </c>
      <c r="G19" s="55" t="s">
        <v>0</v>
      </c>
      <c r="H19" s="55" t="s">
        <v>0</v>
      </c>
      <c r="I19" s="55" t="s">
        <v>0</v>
      </c>
      <c r="J19" s="55" t="s">
        <v>0</v>
      </c>
      <c r="K19" s="55" t="s">
        <v>0</v>
      </c>
      <c r="L19" s="55" t="s">
        <v>0</v>
      </c>
      <c r="M19" s="55" t="s">
        <v>0</v>
      </c>
      <c r="N19" s="55" t="s">
        <v>0</v>
      </c>
      <c r="O19" s="55" t="s">
        <v>0</v>
      </c>
      <c r="P19" s="55" t="s">
        <v>0</v>
      </c>
      <c r="Q19" s="55" t="s">
        <v>0</v>
      </c>
      <c r="R19" s="55" t="s">
        <v>0</v>
      </c>
      <c r="S19" s="55" t="s">
        <v>0</v>
      </c>
      <c r="T19" s="55" t="s">
        <v>0</v>
      </c>
      <c r="U19" s="55" t="s">
        <v>0</v>
      </c>
      <c r="V19" s="55" t="s">
        <v>0</v>
      </c>
      <c r="W19" s="55" t="s">
        <v>0</v>
      </c>
      <c r="X19" s="55" t="s">
        <v>621</v>
      </c>
      <c r="Y19" s="55" t="s">
        <v>397</v>
      </c>
      <c r="Z19" s="55" t="s">
        <v>622</v>
      </c>
      <c r="AA19" s="55"/>
      <c r="AB19" s="55" t="s">
        <v>0</v>
      </c>
      <c r="AC19" s="55" t="s">
        <v>0</v>
      </c>
      <c r="AD19" s="55" t="s">
        <v>673</v>
      </c>
      <c r="AE19" s="41"/>
      <c r="AF19" s="41"/>
      <c r="AG19" s="42" t="s">
        <v>68</v>
      </c>
      <c r="AH19" s="43" t="s">
        <v>615</v>
      </c>
      <c r="AI19" s="44">
        <f t="shared" si="115"/>
        <v>614.51</v>
      </c>
      <c r="AJ19" s="45">
        <f t="shared" si="116"/>
        <v>614.26</v>
      </c>
      <c r="AK19" s="45"/>
      <c r="AL19" s="52"/>
      <c r="AM19" s="45"/>
      <c r="AN19" s="45"/>
      <c r="AO19" s="45"/>
      <c r="AP19" s="45"/>
      <c r="AQ19" s="45">
        <v>614.51</v>
      </c>
      <c r="AR19" s="45">
        <v>614.26</v>
      </c>
      <c r="AS19" s="53">
        <f>AW19</f>
        <v>4014.52</v>
      </c>
      <c r="AT19" s="45"/>
      <c r="AU19" s="45"/>
      <c r="AV19" s="45"/>
      <c r="AW19" s="45">
        <f>4014.52</f>
        <v>4014.52</v>
      </c>
      <c r="AX19" s="53">
        <f>BB19</f>
        <v>1000</v>
      </c>
      <c r="AY19" s="45"/>
      <c r="AZ19" s="45"/>
      <c r="BA19" s="45"/>
      <c r="BB19" s="45">
        <v>1000</v>
      </c>
      <c r="BC19" s="53">
        <f>BG19</f>
        <v>1000</v>
      </c>
      <c r="BD19" s="45"/>
      <c r="BE19" s="45"/>
      <c r="BF19" s="45"/>
      <c r="BG19" s="45">
        <v>1000</v>
      </c>
      <c r="BH19" s="53">
        <f>BL19</f>
        <v>1000</v>
      </c>
      <c r="BI19" s="45"/>
      <c r="BJ19" s="45"/>
      <c r="BK19" s="45"/>
      <c r="BL19" s="45">
        <v>1000</v>
      </c>
      <c r="BM19" s="44">
        <f t="shared" si="117"/>
        <v>614.51</v>
      </c>
      <c r="BN19" s="45">
        <f t="shared" si="118"/>
        <v>614.26</v>
      </c>
      <c r="BO19" s="45"/>
      <c r="BP19" s="52"/>
      <c r="BQ19" s="45"/>
      <c r="BR19" s="45"/>
      <c r="BS19" s="45"/>
      <c r="BT19" s="45"/>
      <c r="BU19" s="45">
        <v>614.51</v>
      </c>
      <c r="BV19" s="49">
        <v>614.26</v>
      </c>
      <c r="BW19" s="53">
        <f>CA19</f>
        <v>4014.52</v>
      </c>
      <c r="BX19" s="45"/>
      <c r="BY19" s="45"/>
      <c r="BZ19" s="45"/>
      <c r="CA19" s="45">
        <f>4014.52</f>
        <v>4014.52</v>
      </c>
      <c r="CB19" s="53">
        <f>CF19</f>
        <v>614.52</v>
      </c>
      <c r="CC19" s="45"/>
      <c r="CD19" s="45"/>
      <c r="CE19" s="45"/>
      <c r="CF19" s="45">
        <v>614.52</v>
      </c>
      <c r="CG19" s="53">
        <f>CK19</f>
        <v>614.52</v>
      </c>
      <c r="CH19" s="45"/>
      <c r="CI19" s="45"/>
      <c r="CJ19" s="45"/>
      <c r="CK19" s="45">
        <v>614.52</v>
      </c>
      <c r="CL19" s="53">
        <f>CP19</f>
        <v>614.52</v>
      </c>
      <c r="CM19" s="45"/>
      <c r="CN19" s="45"/>
      <c r="CO19" s="45"/>
      <c r="CP19" s="45">
        <v>614.52</v>
      </c>
      <c r="CQ19" s="48">
        <v>614.51</v>
      </c>
      <c r="CR19" s="46"/>
      <c r="CS19" s="46"/>
      <c r="CT19" s="46"/>
      <c r="CU19" s="47">
        <v>614.51</v>
      </c>
      <c r="CV19" s="54">
        <f>CZ19</f>
        <v>4014.52</v>
      </c>
      <c r="CW19" s="45"/>
      <c r="CX19" s="45"/>
      <c r="CY19" s="45"/>
      <c r="CZ19" s="49">
        <f>4014.52</f>
        <v>4014.52</v>
      </c>
      <c r="DA19" s="54">
        <f>DE19</f>
        <v>614.52</v>
      </c>
      <c r="DB19" s="45"/>
      <c r="DC19" s="45"/>
      <c r="DD19" s="45"/>
      <c r="DE19" s="49">
        <v>614.52</v>
      </c>
      <c r="DF19" s="48">
        <v>614.51</v>
      </c>
      <c r="DG19" s="46"/>
      <c r="DH19" s="46"/>
      <c r="DI19" s="45"/>
      <c r="DJ19" s="46">
        <v>614.51</v>
      </c>
      <c r="DK19" s="53">
        <f>DO19</f>
        <v>4014.52</v>
      </c>
      <c r="DL19" s="45"/>
      <c r="DM19" s="45"/>
      <c r="DN19" s="45"/>
      <c r="DO19" s="45">
        <f>4014.52</f>
        <v>4014.52</v>
      </c>
      <c r="DP19" s="53">
        <f>DT19</f>
        <v>614.52</v>
      </c>
      <c r="DQ19" s="45"/>
      <c r="DR19" s="45"/>
      <c r="DS19" s="45"/>
      <c r="DT19" s="45">
        <v>614.52</v>
      </c>
      <c r="DU19" s="50"/>
    </row>
    <row r="20" spans="1:125" customFormat="1" ht="409.5" x14ac:dyDescent="0.2">
      <c r="A20" s="38" t="s">
        <v>195</v>
      </c>
      <c r="B20" s="38" t="s">
        <v>196</v>
      </c>
      <c r="C20" s="39" t="s">
        <v>197</v>
      </c>
      <c r="D20" s="40" t="s">
        <v>410</v>
      </c>
      <c r="E20" s="56"/>
      <c r="F20" s="56" t="s">
        <v>404</v>
      </c>
      <c r="G20" s="40" t="s">
        <v>411</v>
      </c>
      <c r="H20" s="40"/>
      <c r="I20" s="40"/>
      <c r="J20" s="13"/>
      <c r="K20" s="40" t="s">
        <v>412</v>
      </c>
      <c r="L20" s="40"/>
      <c r="M20" s="40"/>
      <c r="N20" s="40" t="s">
        <v>413</v>
      </c>
      <c r="O20" s="40"/>
      <c r="P20" s="40"/>
      <c r="Q20" s="13"/>
      <c r="R20" s="40" t="s">
        <v>0</v>
      </c>
      <c r="S20" s="40" t="s">
        <v>0</v>
      </c>
      <c r="T20" s="40" t="s">
        <v>0</v>
      </c>
      <c r="U20" s="40" t="s">
        <v>0</v>
      </c>
      <c r="V20" s="40" t="s">
        <v>0</v>
      </c>
      <c r="W20" s="40" t="s">
        <v>0</v>
      </c>
      <c r="X20" s="40" t="s">
        <v>414</v>
      </c>
      <c r="Y20" s="40" t="s">
        <v>397</v>
      </c>
      <c r="Z20" s="40" t="s">
        <v>415</v>
      </c>
      <c r="AA20" s="40" t="s">
        <v>416</v>
      </c>
      <c r="AB20" s="40" t="s">
        <v>397</v>
      </c>
      <c r="AC20" s="40" t="s">
        <v>417</v>
      </c>
      <c r="AD20" s="40" t="s">
        <v>482</v>
      </c>
      <c r="AE20" s="41"/>
      <c r="AF20" s="41"/>
      <c r="AG20" s="42" t="s">
        <v>57</v>
      </c>
      <c r="AH20" s="57" t="s">
        <v>473</v>
      </c>
      <c r="AI20" s="44">
        <f t="shared" si="115"/>
        <v>14418.190000000002</v>
      </c>
      <c r="AJ20" s="45">
        <f t="shared" si="116"/>
        <v>13569.21</v>
      </c>
      <c r="AK20" s="45">
        <v>0</v>
      </c>
      <c r="AL20" s="52">
        <v>0</v>
      </c>
      <c r="AM20" s="45">
        <v>4289.38</v>
      </c>
      <c r="AN20" s="45">
        <v>4289.38</v>
      </c>
      <c r="AO20" s="45">
        <v>0</v>
      </c>
      <c r="AP20" s="45">
        <v>0</v>
      </c>
      <c r="AQ20" s="46">
        <v>10128.810000000001</v>
      </c>
      <c r="AR20" s="46">
        <v>9279.8299999999981</v>
      </c>
      <c r="AS20" s="45">
        <f>AW20</f>
        <v>13636.1</v>
      </c>
      <c r="AT20" s="45">
        <v>0</v>
      </c>
      <c r="AU20" s="45">
        <v>0</v>
      </c>
      <c r="AV20" s="45">
        <v>0</v>
      </c>
      <c r="AW20" s="45">
        <v>13636.1</v>
      </c>
      <c r="AX20" s="45">
        <f>SUM(AY20:BB20)</f>
        <v>14722.8</v>
      </c>
      <c r="AY20" s="45">
        <v>0</v>
      </c>
      <c r="AZ20" s="45">
        <v>0</v>
      </c>
      <c r="BA20" s="45">
        <v>0</v>
      </c>
      <c r="BB20" s="45">
        <v>14722.8</v>
      </c>
      <c r="BC20" s="45">
        <f>BG20</f>
        <v>12968.1</v>
      </c>
      <c r="BD20" s="45">
        <v>0</v>
      </c>
      <c r="BE20" s="45">
        <v>0</v>
      </c>
      <c r="BF20" s="45">
        <v>0</v>
      </c>
      <c r="BG20" s="45">
        <v>12968.1</v>
      </c>
      <c r="BH20" s="45">
        <f>BL20</f>
        <v>12968.1</v>
      </c>
      <c r="BI20" s="45">
        <v>0</v>
      </c>
      <c r="BJ20" s="45">
        <v>0</v>
      </c>
      <c r="BK20" s="45">
        <v>0</v>
      </c>
      <c r="BL20" s="45">
        <v>12968.1</v>
      </c>
      <c r="BM20" s="44">
        <f t="shared" si="117"/>
        <v>14418.190000000002</v>
      </c>
      <c r="BN20" s="45">
        <f t="shared" si="118"/>
        <v>13569.21</v>
      </c>
      <c r="BO20" s="45">
        <v>0</v>
      </c>
      <c r="BP20" s="52">
        <v>0</v>
      </c>
      <c r="BQ20" s="45">
        <v>4289.38</v>
      </c>
      <c r="BR20" s="45">
        <v>4289.38</v>
      </c>
      <c r="BS20" s="45">
        <v>0</v>
      </c>
      <c r="BT20" s="45">
        <v>0</v>
      </c>
      <c r="BU20" s="46">
        <v>10128.810000000001</v>
      </c>
      <c r="BV20" s="47">
        <v>9279.8299999999981</v>
      </c>
      <c r="BW20" s="45">
        <f>SUBTOTAL(9,BX20:CA20)</f>
        <v>26527.46</v>
      </c>
      <c r="BX20" s="45">
        <v>0</v>
      </c>
      <c r="BY20" s="45">
        <v>0</v>
      </c>
      <c r="BZ20" s="45">
        <v>0</v>
      </c>
      <c r="CA20" s="45">
        <f>37888.46-7-11354</f>
        <v>26527.46</v>
      </c>
      <c r="CB20" s="45">
        <v>11864.96</v>
      </c>
      <c r="CC20" s="45">
        <v>0</v>
      </c>
      <c r="CD20" s="45">
        <v>0</v>
      </c>
      <c r="CE20" s="45">
        <v>0</v>
      </c>
      <c r="CF20" s="45">
        <f>CB20</f>
        <v>11864.96</v>
      </c>
      <c r="CG20" s="45">
        <v>11864.96</v>
      </c>
      <c r="CH20" s="45">
        <v>0</v>
      </c>
      <c r="CI20" s="45">
        <v>0</v>
      </c>
      <c r="CJ20" s="45">
        <v>0</v>
      </c>
      <c r="CK20" s="45">
        <f>CG20</f>
        <v>11864.96</v>
      </c>
      <c r="CL20" s="45">
        <v>11864.96</v>
      </c>
      <c r="CM20" s="45">
        <v>0</v>
      </c>
      <c r="CN20" s="45">
        <v>0</v>
      </c>
      <c r="CO20" s="45">
        <v>0</v>
      </c>
      <c r="CP20" s="49">
        <f>CL20</f>
        <v>11864.96</v>
      </c>
      <c r="CQ20" s="48">
        <v>14418.190000000002</v>
      </c>
      <c r="CR20" s="46">
        <v>0</v>
      </c>
      <c r="CS20" s="46">
        <v>4289.38</v>
      </c>
      <c r="CT20" s="46">
        <v>0</v>
      </c>
      <c r="CU20" s="47">
        <v>10128.810000000001</v>
      </c>
      <c r="CV20" s="44">
        <v>37888.46</v>
      </c>
      <c r="CW20" s="45">
        <v>0</v>
      </c>
      <c r="CX20" s="45">
        <v>0</v>
      </c>
      <c r="CY20" s="45">
        <v>0</v>
      </c>
      <c r="CZ20" s="49">
        <f>CV20</f>
        <v>37888.46</v>
      </c>
      <c r="DA20" s="44">
        <v>11864.96</v>
      </c>
      <c r="DB20" s="45">
        <v>0</v>
      </c>
      <c r="DC20" s="45">
        <v>0</v>
      </c>
      <c r="DD20" s="45">
        <v>0</v>
      </c>
      <c r="DE20" s="49">
        <f>DA20</f>
        <v>11864.96</v>
      </c>
      <c r="DF20" s="48">
        <v>14418.190000000002</v>
      </c>
      <c r="DG20" s="46">
        <v>0</v>
      </c>
      <c r="DH20" s="46">
        <v>4289.38</v>
      </c>
      <c r="DI20" s="45">
        <v>0</v>
      </c>
      <c r="DJ20" s="46">
        <v>10128.810000000001</v>
      </c>
      <c r="DK20" s="45">
        <f>SUBTOTAL(9,DL20:DO20)</f>
        <v>26527.46</v>
      </c>
      <c r="DL20" s="45">
        <v>0</v>
      </c>
      <c r="DM20" s="45">
        <v>0</v>
      </c>
      <c r="DN20" s="45">
        <v>0</v>
      </c>
      <c r="DO20" s="45">
        <f>37888.46-7-11354</f>
        <v>26527.46</v>
      </c>
      <c r="DP20" s="45">
        <v>11864.96</v>
      </c>
      <c r="DQ20" s="45">
        <v>0</v>
      </c>
      <c r="DR20" s="45">
        <v>0</v>
      </c>
      <c r="DS20" s="45">
        <v>0</v>
      </c>
      <c r="DT20" s="45">
        <f>DP20</f>
        <v>11864.96</v>
      </c>
      <c r="DU20" s="50" t="s">
        <v>190</v>
      </c>
    </row>
    <row r="21" spans="1:125" customFormat="1" ht="202.5" x14ac:dyDescent="0.2">
      <c r="A21" s="38" t="s">
        <v>558</v>
      </c>
      <c r="B21" s="38" t="s">
        <v>559</v>
      </c>
      <c r="C21" s="39" t="s">
        <v>560</v>
      </c>
      <c r="D21" s="41" t="s">
        <v>561</v>
      </c>
      <c r="E21" s="55" t="s">
        <v>397</v>
      </c>
      <c r="F21" s="55" t="s">
        <v>533</v>
      </c>
      <c r="G21" s="41" t="s">
        <v>0</v>
      </c>
      <c r="H21" s="41" t="s">
        <v>0</v>
      </c>
      <c r="I21" s="41" t="s">
        <v>0</v>
      </c>
      <c r="J21" s="41" t="s">
        <v>0</v>
      </c>
      <c r="K21" s="41" t="s">
        <v>0</v>
      </c>
      <c r="L21" s="41" t="s">
        <v>0</v>
      </c>
      <c r="M21" s="41" t="s">
        <v>0</v>
      </c>
      <c r="N21" s="41" t="s">
        <v>0</v>
      </c>
      <c r="O21" s="41" t="s">
        <v>0</v>
      </c>
      <c r="P21" s="41" t="s">
        <v>0</v>
      </c>
      <c r="Q21" s="41" t="s">
        <v>0</v>
      </c>
      <c r="R21" s="41" t="s">
        <v>0</v>
      </c>
      <c r="S21" s="41" t="s">
        <v>0</v>
      </c>
      <c r="T21" s="41" t="s">
        <v>0</v>
      </c>
      <c r="U21" s="41" t="s">
        <v>0</v>
      </c>
      <c r="V21" s="41" t="s">
        <v>0</v>
      </c>
      <c r="W21" s="41" t="s">
        <v>0</v>
      </c>
      <c r="X21" s="58" t="s">
        <v>562</v>
      </c>
      <c r="Y21" s="59" t="s">
        <v>397</v>
      </c>
      <c r="Z21" s="58" t="s">
        <v>537</v>
      </c>
      <c r="AA21" s="41" t="s">
        <v>0</v>
      </c>
      <c r="AB21" s="41" t="s">
        <v>0</v>
      </c>
      <c r="AC21" s="41" t="s">
        <v>0</v>
      </c>
      <c r="AD21" s="60" t="s">
        <v>674</v>
      </c>
      <c r="AE21" s="41"/>
      <c r="AF21" s="41"/>
      <c r="AG21" s="42" t="s">
        <v>51</v>
      </c>
      <c r="AH21" s="43" t="s">
        <v>563</v>
      </c>
      <c r="AI21" s="44">
        <f t="shared" si="115"/>
        <v>598890</v>
      </c>
      <c r="AJ21" s="45">
        <f t="shared" si="116"/>
        <v>593886</v>
      </c>
      <c r="AK21" s="45"/>
      <c r="AL21" s="52"/>
      <c r="AM21" s="45"/>
      <c r="AN21" s="45"/>
      <c r="AO21" s="45"/>
      <c r="AP21" s="45"/>
      <c r="AQ21" s="45">
        <v>598890</v>
      </c>
      <c r="AR21" s="45">
        <v>593886</v>
      </c>
      <c r="AS21" s="45">
        <f>SUM(AT21:AW21)</f>
        <v>679215</v>
      </c>
      <c r="AT21" s="45"/>
      <c r="AU21" s="45"/>
      <c r="AV21" s="45"/>
      <c r="AW21" s="45">
        <v>679215</v>
      </c>
      <c r="AX21" s="45">
        <f>SUM(AY21:BB21)</f>
        <v>868215</v>
      </c>
      <c r="AY21" s="45"/>
      <c r="AZ21" s="45"/>
      <c r="BA21" s="45">
        <f>189000+236587</f>
        <v>425587</v>
      </c>
      <c r="BB21" s="45">
        <f>868215-189000-236587</f>
        <v>442628</v>
      </c>
      <c r="BC21" s="45">
        <f t="shared" ref="BC21:BC26" si="119">BG21</f>
        <v>442628</v>
      </c>
      <c r="BD21" s="45"/>
      <c r="BE21" s="45"/>
      <c r="BF21" s="45"/>
      <c r="BG21" s="45">
        <v>442628</v>
      </c>
      <c r="BH21" s="45">
        <f t="shared" ref="BH21:BH26" si="120">BL21</f>
        <v>442628</v>
      </c>
      <c r="BI21" s="45"/>
      <c r="BJ21" s="45"/>
      <c r="BK21" s="45"/>
      <c r="BL21" s="45">
        <v>442628</v>
      </c>
      <c r="BM21" s="44">
        <f t="shared" si="117"/>
        <v>598890</v>
      </c>
      <c r="BN21" s="45">
        <f t="shared" si="118"/>
        <v>593886</v>
      </c>
      <c r="BO21" s="45"/>
      <c r="BP21" s="52"/>
      <c r="BQ21" s="45"/>
      <c r="BR21" s="45"/>
      <c r="BS21" s="45"/>
      <c r="BT21" s="45"/>
      <c r="BU21" s="45">
        <v>598890</v>
      </c>
      <c r="BV21" s="49">
        <v>593886</v>
      </c>
      <c r="BW21" s="45">
        <f>CA21</f>
        <v>649000</v>
      </c>
      <c r="BX21" s="45"/>
      <c r="BY21" s="45"/>
      <c r="BZ21" s="45"/>
      <c r="CA21" s="45">
        <v>649000</v>
      </c>
      <c r="CB21" s="45">
        <f>CF21</f>
        <v>649000</v>
      </c>
      <c r="CC21" s="45"/>
      <c r="CD21" s="45"/>
      <c r="CE21" s="45"/>
      <c r="CF21" s="45">
        <v>649000</v>
      </c>
      <c r="CG21" s="45">
        <f t="shared" ref="CG21:CG26" si="121">CK21</f>
        <v>649000</v>
      </c>
      <c r="CH21" s="45"/>
      <c r="CI21" s="45"/>
      <c r="CJ21" s="45"/>
      <c r="CK21" s="45">
        <v>649000</v>
      </c>
      <c r="CL21" s="45">
        <f t="shared" ref="CL21:CL26" si="122">CP21</f>
        <v>649000</v>
      </c>
      <c r="CM21" s="45"/>
      <c r="CN21" s="45"/>
      <c r="CO21" s="45"/>
      <c r="CP21" s="45">
        <v>649000</v>
      </c>
      <c r="CQ21" s="48">
        <v>598890</v>
      </c>
      <c r="CR21" s="46"/>
      <c r="CS21" s="46"/>
      <c r="CT21" s="46"/>
      <c r="CU21" s="47">
        <v>598890</v>
      </c>
      <c r="CV21" s="44">
        <f>CZ21</f>
        <v>649000</v>
      </c>
      <c r="CW21" s="45"/>
      <c r="CX21" s="45"/>
      <c r="CY21" s="45"/>
      <c r="CZ21" s="49">
        <v>649000</v>
      </c>
      <c r="DA21" s="44">
        <f>DE21</f>
        <v>649000</v>
      </c>
      <c r="DB21" s="45"/>
      <c r="DC21" s="45"/>
      <c r="DD21" s="45"/>
      <c r="DE21" s="49">
        <v>649000</v>
      </c>
      <c r="DF21" s="48">
        <v>598890</v>
      </c>
      <c r="DG21" s="46"/>
      <c r="DH21" s="46"/>
      <c r="DI21" s="45"/>
      <c r="DJ21" s="46">
        <v>598890</v>
      </c>
      <c r="DK21" s="45">
        <f>DO21</f>
        <v>649000</v>
      </c>
      <c r="DL21" s="45"/>
      <c r="DM21" s="45"/>
      <c r="DN21" s="45"/>
      <c r="DO21" s="45">
        <v>649000</v>
      </c>
      <c r="DP21" s="45">
        <f>DT21</f>
        <v>649000</v>
      </c>
      <c r="DQ21" s="45"/>
      <c r="DR21" s="45"/>
      <c r="DS21" s="45"/>
      <c r="DT21" s="45">
        <v>649000</v>
      </c>
      <c r="DU21" s="50"/>
    </row>
    <row r="22" spans="1:125" customFormat="1" ht="168" x14ac:dyDescent="0.2">
      <c r="A22" s="38" t="s">
        <v>198</v>
      </c>
      <c r="B22" s="38" t="s">
        <v>199</v>
      </c>
      <c r="C22" s="39" t="s">
        <v>200</v>
      </c>
      <c r="D22" s="40" t="s">
        <v>418</v>
      </c>
      <c r="E22" s="56" t="s">
        <v>419</v>
      </c>
      <c r="F22" s="56" t="s">
        <v>420</v>
      </c>
      <c r="G22" s="40"/>
      <c r="H22" s="40"/>
      <c r="I22" s="40"/>
      <c r="J22" s="13"/>
      <c r="K22" s="40" t="s">
        <v>421</v>
      </c>
      <c r="L22" s="40"/>
      <c r="M22" s="40"/>
      <c r="N22" s="40"/>
      <c r="O22" s="40"/>
      <c r="P22" s="40"/>
      <c r="Q22" s="13"/>
      <c r="R22" s="40"/>
      <c r="S22" s="40"/>
      <c r="T22" s="40"/>
      <c r="U22" s="40"/>
      <c r="V22" s="40"/>
      <c r="W22" s="40"/>
      <c r="X22" s="40" t="s">
        <v>422</v>
      </c>
      <c r="Y22" s="40"/>
      <c r="Z22" s="40"/>
      <c r="AA22" s="40" t="s">
        <v>423</v>
      </c>
      <c r="AB22" s="40" t="s">
        <v>0</v>
      </c>
      <c r="AC22" s="40" t="s">
        <v>0</v>
      </c>
      <c r="AD22" s="40" t="s">
        <v>483</v>
      </c>
      <c r="AE22" s="41"/>
      <c r="AF22" s="41"/>
      <c r="AG22" s="42" t="s">
        <v>51</v>
      </c>
      <c r="AH22" s="43" t="s">
        <v>201</v>
      </c>
      <c r="AI22" s="44">
        <f t="shared" si="115"/>
        <v>461854.61</v>
      </c>
      <c r="AJ22" s="45">
        <f t="shared" si="116"/>
        <v>456269.45999999996</v>
      </c>
      <c r="AK22" s="46">
        <v>81545.56</v>
      </c>
      <c r="AL22" s="46">
        <v>81405</v>
      </c>
      <c r="AM22" s="45">
        <v>1500</v>
      </c>
      <c r="AN22" s="45">
        <v>1500</v>
      </c>
      <c r="AO22" s="45">
        <f>56400+2200+2861.99+65+3100</f>
        <v>64626.99</v>
      </c>
      <c r="AP22" s="45">
        <f>56400+2200+2861.99+65</f>
        <v>61526.99</v>
      </c>
      <c r="AQ22" s="46">
        <f>10078.67+368730.38-56400-2200-2861.99-65-3100</f>
        <v>314182.06</v>
      </c>
      <c r="AR22" s="46">
        <f>10061.29+363303.17-56400-2200-2861.99-65</f>
        <v>311837.46999999997</v>
      </c>
      <c r="AS22" s="45">
        <f>SUBTOTAL(9,AT22:AW22)</f>
        <v>671832.5</v>
      </c>
      <c r="AT22" s="45"/>
      <c r="AU22" s="45">
        <v>63299</v>
      </c>
      <c r="AV22" s="45">
        <f>44400+148377.51+3501+56400</f>
        <v>252678.51</v>
      </c>
      <c r="AW22" s="45">
        <f>456295.29+46198.7-63299-56400-26940</f>
        <v>355854.99</v>
      </c>
      <c r="AX22" s="45">
        <f>SUM(AY22:BB22)</f>
        <v>546281.14</v>
      </c>
      <c r="AY22" s="45"/>
      <c r="AZ22" s="45"/>
      <c r="BA22" s="45">
        <f>145376.2+21488.6+56800+1821.4</f>
        <v>225486.2</v>
      </c>
      <c r="BB22" s="45">
        <f>682800.3-136560.06+40.9-145376.2-21488.6-56800-1821.4</f>
        <v>320794.94</v>
      </c>
      <c r="BC22" s="45">
        <f t="shared" si="119"/>
        <v>345754.8</v>
      </c>
      <c r="BD22" s="45">
        <v>0</v>
      </c>
      <c r="BE22" s="45">
        <v>0</v>
      </c>
      <c r="BF22" s="45">
        <v>0</v>
      </c>
      <c r="BG22" s="45">
        <v>345754.8</v>
      </c>
      <c r="BH22" s="45">
        <f t="shared" si="120"/>
        <v>345754.8</v>
      </c>
      <c r="BI22" s="45">
        <v>0</v>
      </c>
      <c r="BJ22" s="45">
        <v>0</v>
      </c>
      <c r="BK22" s="45">
        <v>0</v>
      </c>
      <c r="BL22" s="45">
        <v>345754.8</v>
      </c>
      <c r="BM22" s="44">
        <f t="shared" si="117"/>
        <v>427343.35</v>
      </c>
      <c r="BN22" s="45">
        <f t="shared" si="118"/>
        <v>422649.46999999991</v>
      </c>
      <c r="BO22" s="46">
        <v>81545.56</v>
      </c>
      <c r="BP22" s="46">
        <v>81405</v>
      </c>
      <c r="BQ22" s="45">
        <v>1500</v>
      </c>
      <c r="BR22" s="45">
        <v>1500</v>
      </c>
      <c r="BS22" s="45">
        <f>56400+2200+2861.99+65+3100-22176.3</f>
        <v>42450.69</v>
      </c>
      <c r="BT22" s="45">
        <f>56400+2200+2861.99+65-22176.3</f>
        <v>39350.69</v>
      </c>
      <c r="BU22" s="46">
        <f>10078.67+368730.38-56400-2200-2861.99-65-3100-1619.14-300-32.44-1448-2162.72-6695.59-77.06-0.01</f>
        <v>301847.09999999998</v>
      </c>
      <c r="BV22" s="47">
        <f>10061.29+363303.17-56400-2200-2861.99-65-1119.14-300-32.44-1441.7-1777.77-6695.59-77.06+0.01</f>
        <v>300393.77999999991</v>
      </c>
      <c r="BW22" s="45">
        <f>SUBTOTAL(9,BX22:CA22)</f>
        <v>495045.13</v>
      </c>
      <c r="BX22" s="45"/>
      <c r="BY22" s="45"/>
      <c r="BZ22" s="45">
        <f>44400+148377.51+3501-16000-8000</f>
        <v>172278.51</v>
      </c>
      <c r="CA22" s="45">
        <f>104000+607304.85-87393.72-44400-148377.51-3501-104000-866</f>
        <v>322766.62</v>
      </c>
      <c r="CB22" s="45">
        <f>CF22</f>
        <v>280372.08999999997</v>
      </c>
      <c r="CC22" s="45"/>
      <c r="CD22" s="45"/>
      <c r="CE22" s="45"/>
      <c r="CF22" s="45">
        <f>140000+337279.16-56605.06-140000-302-0.01</f>
        <v>280372.08999999997</v>
      </c>
      <c r="CG22" s="45">
        <f t="shared" si="121"/>
        <v>297108.09000000003</v>
      </c>
      <c r="CH22" s="45">
        <v>0</v>
      </c>
      <c r="CI22" s="45">
        <v>0</v>
      </c>
      <c r="CJ22" s="45">
        <v>0</v>
      </c>
      <c r="CK22" s="45">
        <f>355140.49-57063.98-968.42</f>
        <v>297108.09000000003</v>
      </c>
      <c r="CL22" s="45">
        <f t="shared" si="122"/>
        <v>297108.09000000003</v>
      </c>
      <c r="CM22" s="45">
        <v>0</v>
      </c>
      <c r="CN22" s="45">
        <v>0</v>
      </c>
      <c r="CO22" s="45">
        <v>0</v>
      </c>
      <c r="CP22" s="45">
        <f>355140.49-57063.98-968.42</f>
        <v>297108.09000000003</v>
      </c>
      <c r="CQ22" s="48">
        <v>461854.61</v>
      </c>
      <c r="CR22" s="46">
        <v>81545.56</v>
      </c>
      <c r="CS22" s="46">
        <v>1500</v>
      </c>
      <c r="CT22" s="46">
        <v>64626.99</v>
      </c>
      <c r="CU22" s="47">
        <v>314182.06</v>
      </c>
      <c r="CV22" s="44">
        <f>CZ22</f>
        <v>623911.13</v>
      </c>
      <c r="CW22" s="45"/>
      <c r="CX22" s="45"/>
      <c r="CY22" s="45"/>
      <c r="CZ22" s="49">
        <f>104000+607304.85-87393.72</f>
        <v>623911.13</v>
      </c>
      <c r="DA22" s="44">
        <f>DE22</f>
        <v>420674.1</v>
      </c>
      <c r="DB22" s="45"/>
      <c r="DC22" s="45"/>
      <c r="DD22" s="45"/>
      <c r="DE22" s="49">
        <f>140000+337279.16-56605.06</f>
        <v>420674.1</v>
      </c>
      <c r="DF22" s="48">
        <v>427343.35</v>
      </c>
      <c r="DG22" s="46">
        <v>81545.56</v>
      </c>
      <c r="DH22" s="46">
        <v>1500</v>
      </c>
      <c r="DI22" s="45">
        <f>56400+2200+2861.99+65+3100-22176.3</f>
        <v>42450.69</v>
      </c>
      <c r="DJ22" s="46">
        <v>301847.09999999998</v>
      </c>
      <c r="DK22" s="45">
        <f>SUBTOTAL(9,DL22:DO22)</f>
        <v>495045.13</v>
      </c>
      <c r="DL22" s="45"/>
      <c r="DM22" s="45"/>
      <c r="DN22" s="45">
        <f>44400+148377.51+3501-16000-8000</f>
        <v>172278.51</v>
      </c>
      <c r="DO22" s="45">
        <f>104000+607304.85-87393.72-44400-148377.51-3501-104000-866</f>
        <v>322766.62</v>
      </c>
      <c r="DP22" s="45">
        <f>DT22</f>
        <v>280372.08999999997</v>
      </c>
      <c r="DQ22" s="45"/>
      <c r="DR22" s="45"/>
      <c r="DS22" s="45"/>
      <c r="DT22" s="45">
        <f>140000+337279.16-56605.06-140000-302-0.01</f>
        <v>280372.08999999997</v>
      </c>
      <c r="DU22" s="50"/>
    </row>
    <row r="23" spans="1:125" customFormat="1" ht="292.5" x14ac:dyDescent="0.2">
      <c r="A23" s="38" t="s">
        <v>590</v>
      </c>
      <c r="B23" s="38" t="s">
        <v>591</v>
      </c>
      <c r="C23" s="39" t="s">
        <v>592</v>
      </c>
      <c r="D23" s="41" t="s">
        <v>593</v>
      </c>
      <c r="E23" s="55" t="s">
        <v>397</v>
      </c>
      <c r="F23" s="55" t="s">
        <v>594</v>
      </c>
      <c r="G23" s="41" t="s">
        <v>0</v>
      </c>
      <c r="H23" s="41" t="s">
        <v>0</v>
      </c>
      <c r="I23" s="41" t="s">
        <v>0</v>
      </c>
      <c r="J23" s="41" t="s">
        <v>0</v>
      </c>
      <c r="K23" s="41" t="s">
        <v>0</v>
      </c>
      <c r="L23" s="41" t="s">
        <v>0</v>
      </c>
      <c r="M23" s="41" t="s">
        <v>0</v>
      </c>
      <c r="N23" s="41" t="s">
        <v>0</v>
      </c>
      <c r="O23" s="41" t="s">
        <v>0</v>
      </c>
      <c r="P23" s="41" t="s">
        <v>0</v>
      </c>
      <c r="Q23" s="41" t="s">
        <v>0</v>
      </c>
      <c r="R23" s="41" t="s">
        <v>0</v>
      </c>
      <c r="S23" s="41" t="s">
        <v>0</v>
      </c>
      <c r="T23" s="41" t="s">
        <v>0</v>
      </c>
      <c r="U23" s="41" t="s">
        <v>0</v>
      </c>
      <c r="V23" s="41" t="s">
        <v>0</v>
      </c>
      <c r="W23" s="41" t="s">
        <v>0</v>
      </c>
      <c r="X23" s="58" t="s">
        <v>536</v>
      </c>
      <c r="Y23" s="59" t="s">
        <v>397</v>
      </c>
      <c r="Z23" s="58" t="s">
        <v>537</v>
      </c>
      <c r="AA23" s="61" t="s">
        <v>595</v>
      </c>
      <c r="AB23" s="41" t="s">
        <v>0</v>
      </c>
      <c r="AC23" s="41" t="s">
        <v>0</v>
      </c>
      <c r="AD23" s="55" t="s">
        <v>675</v>
      </c>
      <c r="AE23" s="41"/>
      <c r="AF23" s="41"/>
      <c r="AG23" s="42" t="s">
        <v>51</v>
      </c>
      <c r="AH23" s="43" t="s">
        <v>201</v>
      </c>
      <c r="AI23" s="44">
        <f t="shared" si="115"/>
        <v>72197.97</v>
      </c>
      <c r="AJ23" s="45">
        <f t="shared" si="116"/>
        <v>48288.200000000004</v>
      </c>
      <c r="AK23" s="46">
        <v>2494.1</v>
      </c>
      <c r="AL23" s="46">
        <v>2482.19</v>
      </c>
      <c r="AM23" s="45"/>
      <c r="AN23" s="45"/>
      <c r="AO23" s="45"/>
      <c r="AP23" s="45"/>
      <c r="AQ23" s="46">
        <f>308.26+69395.61</f>
        <v>69703.87</v>
      </c>
      <c r="AR23" s="46">
        <f>306.79+45499.22</f>
        <v>45806.01</v>
      </c>
      <c r="AS23" s="45">
        <f>SUBTOTAL(9,AT23:AW23)</f>
        <v>107035.9</v>
      </c>
      <c r="AT23" s="45"/>
      <c r="AU23" s="45">
        <v>9839.7000000000007</v>
      </c>
      <c r="AV23" s="45">
        <v>8371.07</v>
      </c>
      <c r="AW23" s="45">
        <f>107035.9-8371.07-9839.7</f>
        <v>88825.12999999999</v>
      </c>
      <c r="AX23" s="45">
        <f>SUM(AY23:BB23)</f>
        <v>136560.06</v>
      </c>
      <c r="AY23" s="45"/>
      <c r="AZ23" s="45"/>
      <c r="BA23" s="45">
        <v>8123.8</v>
      </c>
      <c r="BB23" s="45">
        <f>136560.06-8123.8</f>
        <v>128436.26</v>
      </c>
      <c r="BC23" s="45">
        <f t="shared" si="119"/>
        <v>128436.26</v>
      </c>
      <c r="BD23" s="45"/>
      <c r="BE23" s="45"/>
      <c r="BF23" s="45"/>
      <c r="BG23" s="45">
        <f>136560.06-8123.8</f>
        <v>128436.26</v>
      </c>
      <c r="BH23" s="45">
        <f t="shared" si="120"/>
        <v>128436.26</v>
      </c>
      <c r="BI23" s="45"/>
      <c r="BJ23" s="45"/>
      <c r="BK23" s="45"/>
      <c r="BL23" s="45">
        <f>136560.06-8123.8</f>
        <v>128436.26</v>
      </c>
      <c r="BM23" s="44">
        <f t="shared" si="117"/>
        <v>57398.829999999994</v>
      </c>
      <c r="BN23" s="45">
        <f t="shared" si="118"/>
        <v>47040.700000000004</v>
      </c>
      <c r="BO23" s="46">
        <v>2494.1</v>
      </c>
      <c r="BP23" s="46">
        <v>2482.19</v>
      </c>
      <c r="BQ23" s="45"/>
      <c r="BR23" s="45"/>
      <c r="BS23" s="45"/>
      <c r="BT23" s="45"/>
      <c r="BU23" s="46">
        <f>308.26+69395.61-2500-10693.1-859.73-43-373.1-100.21-230</f>
        <v>54904.729999999996</v>
      </c>
      <c r="BV23" s="47">
        <f>306.79+45499.22-509.48-43-373.1-91.92-230</f>
        <v>44558.51</v>
      </c>
      <c r="BW23" s="45">
        <f>SUBTOTAL(9,BX23:CA23)</f>
        <v>87387.69</v>
      </c>
      <c r="BX23" s="45"/>
      <c r="BY23" s="45"/>
      <c r="BZ23" s="45">
        <f>12000+5080.3</f>
        <v>17080.3</v>
      </c>
      <c r="CA23" s="45">
        <f>87393.72-12000-5080.3-6.03</f>
        <v>70307.39</v>
      </c>
      <c r="CB23" s="45">
        <f>CF23</f>
        <v>56598.79</v>
      </c>
      <c r="CC23" s="45"/>
      <c r="CD23" s="45"/>
      <c r="CE23" s="45"/>
      <c r="CF23" s="45">
        <f>56605.06-6.27</f>
        <v>56598.79</v>
      </c>
      <c r="CG23" s="45">
        <f t="shared" si="121"/>
        <v>57057.460000000006</v>
      </c>
      <c r="CH23" s="45"/>
      <c r="CI23" s="45"/>
      <c r="CJ23" s="45"/>
      <c r="CK23" s="45">
        <f>57063.98-6.52</f>
        <v>57057.460000000006</v>
      </c>
      <c r="CL23" s="45">
        <f t="shared" si="122"/>
        <v>57057.460000000006</v>
      </c>
      <c r="CM23" s="45"/>
      <c r="CN23" s="45"/>
      <c r="CO23" s="45"/>
      <c r="CP23" s="45">
        <f>57063.98-6.52</f>
        <v>57057.460000000006</v>
      </c>
      <c r="CQ23" s="48">
        <v>72197.97</v>
      </c>
      <c r="CR23" s="46">
        <v>2494.1</v>
      </c>
      <c r="CS23" s="46"/>
      <c r="CT23" s="46"/>
      <c r="CU23" s="47">
        <v>69703.87</v>
      </c>
      <c r="CV23" s="44">
        <f>CZ23</f>
        <v>87393.72</v>
      </c>
      <c r="CW23" s="45"/>
      <c r="CX23" s="45"/>
      <c r="CY23" s="45"/>
      <c r="CZ23" s="49">
        <v>87393.72</v>
      </c>
      <c r="DA23" s="44">
        <f>DE23</f>
        <v>56605.06</v>
      </c>
      <c r="DB23" s="45"/>
      <c r="DC23" s="45"/>
      <c r="DD23" s="45"/>
      <c r="DE23" s="49">
        <v>56605.06</v>
      </c>
      <c r="DF23" s="48">
        <v>57398.829999999994</v>
      </c>
      <c r="DG23" s="46">
        <v>2494.1</v>
      </c>
      <c r="DH23" s="46"/>
      <c r="DI23" s="45"/>
      <c r="DJ23" s="46">
        <v>54904.729999999996</v>
      </c>
      <c r="DK23" s="45">
        <f>SUBTOTAL(9,DL23:DO23)</f>
        <v>87387.69</v>
      </c>
      <c r="DL23" s="45"/>
      <c r="DM23" s="45"/>
      <c r="DN23" s="45">
        <f>12000+5080.3</f>
        <v>17080.3</v>
      </c>
      <c r="DO23" s="45">
        <f>87393.72-12000-5080.3-6.03</f>
        <v>70307.39</v>
      </c>
      <c r="DP23" s="45">
        <f>DT23</f>
        <v>56598.79</v>
      </c>
      <c r="DQ23" s="45"/>
      <c r="DR23" s="45"/>
      <c r="DS23" s="45"/>
      <c r="DT23" s="45">
        <f>56605.06-6.27</f>
        <v>56598.79</v>
      </c>
      <c r="DU23" s="50"/>
    </row>
    <row r="24" spans="1:125" customFormat="1" ht="112.5" x14ac:dyDescent="0.2">
      <c r="A24" s="38" t="s">
        <v>202</v>
      </c>
      <c r="B24" s="38" t="s">
        <v>203</v>
      </c>
      <c r="C24" s="39" t="s">
        <v>204</v>
      </c>
      <c r="D24" s="40" t="s">
        <v>424</v>
      </c>
      <c r="E24" s="56" t="s">
        <v>419</v>
      </c>
      <c r="F24" s="56" t="s">
        <v>420</v>
      </c>
      <c r="G24" s="40"/>
      <c r="H24" s="40"/>
      <c r="I24" s="40"/>
      <c r="J24" s="13"/>
      <c r="K24" s="40"/>
      <c r="L24" s="40"/>
      <c r="M24" s="40"/>
      <c r="N24" s="40"/>
      <c r="O24" s="40"/>
      <c r="P24" s="40"/>
      <c r="Q24" s="13"/>
      <c r="R24" s="40"/>
      <c r="S24" s="40"/>
      <c r="T24" s="40"/>
      <c r="U24" s="40"/>
      <c r="V24" s="40"/>
      <c r="W24" s="40"/>
      <c r="X24" s="40"/>
      <c r="Y24" s="40"/>
      <c r="Z24" s="40"/>
      <c r="AA24" s="40" t="s">
        <v>425</v>
      </c>
      <c r="AB24" s="40"/>
      <c r="AC24" s="40"/>
      <c r="AD24" s="40" t="s">
        <v>484</v>
      </c>
      <c r="AE24" s="41"/>
      <c r="AF24" s="41"/>
      <c r="AG24" s="42" t="s">
        <v>51</v>
      </c>
      <c r="AH24" s="43" t="s">
        <v>205</v>
      </c>
      <c r="AI24" s="44">
        <f t="shared" si="115"/>
        <v>889935.37</v>
      </c>
      <c r="AJ24" s="45">
        <f t="shared" si="116"/>
        <v>656387.78</v>
      </c>
      <c r="AK24" s="45">
        <v>5951.5</v>
      </c>
      <c r="AL24" s="45">
        <v>5951.5</v>
      </c>
      <c r="AM24" s="45">
        <v>517.52</v>
      </c>
      <c r="AN24" s="45">
        <v>517.52</v>
      </c>
      <c r="AO24" s="45">
        <f>115300+788</f>
        <v>116088</v>
      </c>
      <c r="AP24" s="53">
        <f>78255.64+788</f>
        <v>79043.64</v>
      </c>
      <c r="AQ24" s="46">
        <f>194518.25+572595+1053.1-788</f>
        <v>767378.35</v>
      </c>
      <c r="AR24" s="46">
        <f>570610.02+1053.1-788</f>
        <v>570875.12</v>
      </c>
      <c r="AS24" s="45">
        <f>SUBTOTAL(9,AT24:AW24)</f>
        <v>936522.5</v>
      </c>
      <c r="AT24" s="45">
        <v>0</v>
      </c>
      <c r="AU24" s="45">
        <v>0</v>
      </c>
      <c r="AV24" s="45"/>
      <c r="AW24" s="45">
        <v>936522.5</v>
      </c>
      <c r="AX24" s="45">
        <f>BB24</f>
        <v>873083.6</v>
      </c>
      <c r="AY24" s="45">
        <v>0</v>
      </c>
      <c r="AZ24" s="45">
        <v>0</v>
      </c>
      <c r="BA24" s="45">
        <v>0</v>
      </c>
      <c r="BB24" s="45">
        <v>873083.6</v>
      </c>
      <c r="BC24" s="45">
        <f t="shared" si="119"/>
        <v>690463.5</v>
      </c>
      <c r="BD24" s="45">
        <v>0</v>
      </c>
      <c r="BE24" s="45">
        <v>0</v>
      </c>
      <c r="BF24" s="45">
        <v>0</v>
      </c>
      <c r="BG24" s="45">
        <v>690463.5</v>
      </c>
      <c r="BH24" s="45">
        <f t="shared" si="120"/>
        <v>690463.5</v>
      </c>
      <c r="BI24" s="45">
        <v>0</v>
      </c>
      <c r="BJ24" s="45">
        <v>0</v>
      </c>
      <c r="BK24" s="45">
        <v>0</v>
      </c>
      <c r="BL24" s="45">
        <v>690463.5</v>
      </c>
      <c r="BM24" s="44">
        <f t="shared" si="117"/>
        <v>571298.92000000004</v>
      </c>
      <c r="BN24" s="45">
        <f t="shared" si="118"/>
        <v>569313.95000000007</v>
      </c>
      <c r="BO24" s="45">
        <v>5951.5</v>
      </c>
      <c r="BP24" s="45">
        <v>5951.5</v>
      </c>
      <c r="BQ24" s="45">
        <v>517.52</v>
      </c>
      <c r="BR24" s="45">
        <v>517.52</v>
      </c>
      <c r="BS24" s="45">
        <f>115300+788-115300+5212</f>
        <v>6000</v>
      </c>
      <c r="BT24" s="53">
        <f>78255.64+788-73058.53</f>
        <v>5985.1100000000006</v>
      </c>
      <c r="BU24" s="46">
        <f>194518.25+572595+1053.1-788-5375.03-189143.22-5212-1154.51-7522.12-141.57</f>
        <v>558829.9</v>
      </c>
      <c r="BV24" s="47">
        <f>570610.02+1053.1-788-5197.1-1154.51-7522.12-141.57</f>
        <v>556859.82000000007</v>
      </c>
      <c r="BW24" s="45">
        <f>SUBTOTAL(9,BX24:CA24)</f>
        <v>601524.34</v>
      </c>
      <c r="BX24" s="45">
        <v>0</v>
      </c>
      <c r="BY24" s="45">
        <v>0</v>
      </c>
      <c r="BZ24" s="45">
        <f>500+400+5574.2</f>
        <v>6474.2</v>
      </c>
      <c r="CA24" s="45">
        <f>234500+786174.34-500-400-5574.2-234500-180600-4000-50</f>
        <v>595050.14</v>
      </c>
      <c r="CB24" s="45">
        <f>CF24</f>
        <v>586619</v>
      </c>
      <c r="CC24" s="45">
        <v>0</v>
      </c>
      <c r="CD24" s="45">
        <v>0</v>
      </c>
      <c r="CE24" s="45">
        <v>0</v>
      </c>
      <c r="CF24" s="45">
        <f>587018.99+0.01-400</f>
        <v>586619</v>
      </c>
      <c r="CG24" s="45">
        <f t="shared" si="121"/>
        <v>587018.99</v>
      </c>
      <c r="CH24" s="45">
        <v>0</v>
      </c>
      <c r="CI24" s="45">
        <v>0</v>
      </c>
      <c r="CJ24" s="45">
        <v>0</v>
      </c>
      <c r="CK24" s="45">
        <v>587018.99</v>
      </c>
      <c r="CL24" s="45">
        <f t="shared" si="122"/>
        <v>587018.99</v>
      </c>
      <c r="CM24" s="45">
        <v>0</v>
      </c>
      <c r="CN24" s="45">
        <v>0</v>
      </c>
      <c r="CO24" s="45">
        <v>0</v>
      </c>
      <c r="CP24" s="45">
        <v>587018.99</v>
      </c>
      <c r="CQ24" s="48">
        <v>889935.37</v>
      </c>
      <c r="CR24" s="46">
        <v>5951.5</v>
      </c>
      <c r="CS24" s="46">
        <v>517.52</v>
      </c>
      <c r="CT24" s="46">
        <v>116088</v>
      </c>
      <c r="CU24" s="47">
        <v>767378.35</v>
      </c>
      <c r="CV24" s="44">
        <f>CZ24</f>
        <v>1020674.34</v>
      </c>
      <c r="CW24" s="45">
        <v>0</v>
      </c>
      <c r="CX24" s="45">
        <v>0</v>
      </c>
      <c r="CY24" s="45">
        <v>0</v>
      </c>
      <c r="CZ24" s="49">
        <f>234500+786174.34</f>
        <v>1020674.34</v>
      </c>
      <c r="DA24" s="44">
        <f>DE24</f>
        <v>587019</v>
      </c>
      <c r="DB24" s="45">
        <v>0</v>
      </c>
      <c r="DC24" s="45">
        <v>0</v>
      </c>
      <c r="DD24" s="45">
        <v>0</v>
      </c>
      <c r="DE24" s="49">
        <f>587018.99+0.01</f>
        <v>587019</v>
      </c>
      <c r="DF24" s="48">
        <v>571298.92000000004</v>
      </c>
      <c r="DG24" s="46">
        <v>5951.5</v>
      </c>
      <c r="DH24" s="46">
        <v>517.52</v>
      </c>
      <c r="DI24" s="45">
        <f>115300+788-115300+5212</f>
        <v>6000</v>
      </c>
      <c r="DJ24" s="46">
        <v>558829.9</v>
      </c>
      <c r="DK24" s="45">
        <f>SUBTOTAL(9,DL24:DO24)</f>
        <v>601524.34</v>
      </c>
      <c r="DL24" s="45">
        <v>0</v>
      </c>
      <c r="DM24" s="45">
        <v>0</v>
      </c>
      <c r="DN24" s="45">
        <f>500+400+5574.2</f>
        <v>6474.2</v>
      </c>
      <c r="DO24" s="45">
        <f>234500+786174.34-500-400-5574.2-234500-180600-4000-50</f>
        <v>595050.14</v>
      </c>
      <c r="DP24" s="45">
        <f>DT24</f>
        <v>586619</v>
      </c>
      <c r="DQ24" s="45">
        <v>0</v>
      </c>
      <c r="DR24" s="45">
        <v>0</v>
      </c>
      <c r="DS24" s="45">
        <v>0</v>
      </c>
      <c r="DT24" s="45">
        <f>587018.99+0.01-400</f>
        <v>586619</v>
      </c>
      <c r="DU24" s="50" t="s">
        <v>190</v>
      </c>
    </row>
    <row r="25" spans="1:125" customFormat="1" ht="157.5" x14ac:dyDescent="0.2">
      <c r="A25" s="38" t="s">
        <v>597</v>
      </c>
      <c r="B25" s="38" t="s">
        <v>598</v>
      </c>
      <c r="C25" s="39" t="s">
        <v>599</v>
      </c>
      <c r="D25" s="62" t="s">
        <v>600</v>
      </c>
      <c r="E25" s="63" t="s">
        <v>397</v>
      </c>
      <c r="F25" s="63" t="s">
        <v>601</v>
      </c>
      <c r="G25" s="41" t="s">
        <v>0</v>
      </c>
      <c r="H25" s="41" t="s">
        <v>0</v>
      </c>
      <c r="I25" s="41" t="s">
        <v>0</v>
      </c>
      <c r="J25" s="41" t="s">
        <v>0</v>
      </c>
      <c r="K25" s="61" t="s">
        <v>602</v>
      </c>
      <c r="L25" s="41" t="s">
        <v>397</v>
      </c>
      <c r="M25" s="41" t="s">
        <v>603</v>
      </c>
      <c r="N25" s="41" t="s">
        <v>0</v>
      </c>
      <c r="O25" s="41" t="s">
        <v>0</v>
      </c>
      <c r="P25" s="41" t="s">
        <v>0</v>
      </c>
      <c r="Q25" s="41" t="s">
        <v>0</v>
      </c>
      <c r="R25" s="41" t="s">
        <v>0</v>
      </c>
      <c r="S25" s="41" t="s">
        <v>0</v>
      </c>
      <c r="T25" s="41" t="s">
        <v>0</v>
      </c>
      <c r="U25" s="41" t="s">
        <v>0</v>
      </c>
      <c r="V25" s="41" t="s">
        <v>0</v>
      </c>
      <c r="W25" s="41" t="s">
        <v>0</v>
      </c>
      <c r="X25" s="64" t="s">
        <v>536</v>
      </c>
      <c r="Y25" s="65" t="s">
        <v>397</v>
      </c>
      <c r="Z25" s="62" t="s">
        <v>604</v>
      </c>
      <c r="AA25" s="41" t="s">
        <v>605</v>
      </c>
      <c r="AB25" s="41" t="s">
        <v>0</v>
      </c>
      <c r="AC25" s="41" t="s">
        <v>0</v>
      </c>
      <c r="AD25" s="55" t="s">
        <v>676</v>
      </c>
      <c r="AE25" s="41"/>
      <c r="AF25" s="41"/>
      <c r="AG25" s="42" t="s">
        <v>51</v>
      </c>
      <c r="AH25" s="43" t="s">
        <v>206</v>
      </c>
      <c r="AI25" s="44">
        <f t="shared" si="115"/>
        <v>45032.2</v>
      </c>
      <c r="AJ25" s="45">
        <f t="shared" si="116"/>
        <v>44798.570000000007</v>
      </c>
      <c r="AK25" s="45"/>
      <c r="AL25" s="52"/>
      <c r="AM25" s="45">
        <v>9417.6</v>
      </c>
      <c r="AN25" s="45">
        <v>9417.6</v>
      </c>
      <c r="AO25" s="45">
        <f>5000+4887.2</f>
        <v>9887.2000000000007</v>
      </c>
      <c r="AP25" s="45">
        <f>5000+4887.2</f>
        <v>9887.2000000000007</v>
      </c>
      <c r="AQ25" s="46">
        <f>35614.6-5000-4887.2</f>
        <v>25727.399999999998</v>
      </c>
      <c r="AR25" s="46">
        <f>35380.97-5000-4887.2</f>
        <v>25493.77</v>
      </c>
      <c r="AS25" s="45">
        <f>SUBTOTAL(9,AT25:AW25)</f>
        <v>98301.5</v>
      </c>
      <c r="AT25" s="45"/>
      <c r="AU25" s="45">
        <v>10524.7</v>
      </c>
      <c r="AV25" s="45">
        <v>7770</v>
      </c>
      <c r="AW25" s="45">
        <v>80006.8</v>
      </c>
      <c r="AX25" s="45">
        <f>SUBTOTAL(9,AY25:BB25)</f>
        <v>99143.360000000001</v>
      </c>
      <c r="AY25" s="45"/>
      <c r="AZ25" s="45"/>
      <c r="BA25" s="45">
        <v>61607.199999999997</v>
      </c>
      <c r="BB25" s="45">
        <f>99143.36-61607.2</f>
        <v>37536.160000000003</v>
      </c>
      <c r="BC25" s="45">
        <f t="shared" si="119"/>
        <v>37536.199999999997</v>
      </c>
      <c r="BD25" s="45"/>
      <c r="BE25" s="45"/>
      <c r="BF25" s="45"/>
      <c r="BG25" s="45">
        <v>37536.199999999997</v>
      </c>
      <c r="BH25" s="45">
        <f t="shared" si="120"/>
        <v>37536.199999999997</v>
      </c>
      <c r="BI25" s="45"/>
      <c r="BJ25" s="45"/>
      <c r="BK25" s="45"/>
      <c r="BL25" s="45">
        <v>37536.199999999997</v>
      </c>
      <c r="BM25" s="44">
        <f t="shared" si="117"/>
        <v>45032.2</v>
      </c>
      <c r="BN25" s="45">
        <f t="shared" si="118"/>
        <v>44798.570000000007</v>
      </c>
      <c r="BO25" s="45"/>
      <c r="BP25" s="52"/>
      <c r="BQ25" s="45">
        <v>9417.6</v>
      </c>
      <c r="BR25" s="45">
        <v>9417.6</v>
      </c>
      <c r="BS25" s="45">
        <f>5000+4887.2</f>
        <v>9887.2000000000007</v>
      </c>
      <c r="BT25" s="45">
        <f>5000+4887.2</f>
        <v>9887.2000000000007</v>
      </c>
      <c r="BU25" s="46">
        <f>35614.6-5000-4887.2</f>
        <v>25727.399999999998</v>
      </c>
      <c r="BV25" s="47">
        <f>35380.97-5000-4887.2</f>
        <v>25493.77</v>
      </c>
      <c r="BW25" s="45">
        <f>SUBTOTAL(9,BX25:CA25)</f>
        <v>23665.63</v>
      </c>
      <c r="BX25" s="45"/>
      <c r="BY25" s="45">
        <v>5262</v>
      </c>
      <c r="BZ25" s="45"/>
      <c r="CA25" s="45">
        <v>18403.63</v>
      </c>
      <c r="CB25" s="45">
        <f>SUBTOTAL(9,CC25:CF25)</f>
        <v>11338.8</v>
      </c>
      <c r="CC25" s="45"/>
      <c r="CD25" s="45"/>
      <c r="CE25" s="45"/>
      <c r="CF25" s="45">
        <v>11338.8</v>
      </c>
      <c r="CG25" s="45">
        <f t="shared" si="121"/>
        <v>23349.39</v>
      </c>
      <c r="CH25" s="45"/>
      <c r="CI25" s="45"/>
      <c r="CJ25" s="45"/>
      <c r="CK25" s="45">
        <v>23349.39</v>
      </c>
      <c r="CL25" s="45">
        <f t="shared" si="122"/>
        <v>23349.39</v>
      </c>
      <c r="CM25" s="45"/>
      <c r="CN25" s="45"/>
      <c r="CO25" s="45"/>
      <c r="CP25" s="45">
        <v>23349.39</v>
      </c>
      <c r="CQ25" s="48">
        <v>45032.2</v>
      </c>
      <c r="CR25" s="46"/>
      <c r="CS25" s="46">
        <v>9417.6</v>
      </c>
      <c r="CT25" s="46">
        <v>9887.2000000000007</v>
      </c>
      <c r="CU25" s="47">
        <v>25727.399999999998</v>
      </c>
      <c r="CV25" s="44">
        <f>SUBTOTAL(9,CW25:CZ25)</f>
        <v>23665.63</v>
      </c>
      <c r="CW25" s="45"/>
      <c r="CX25" s="45">
        <v>5262</v>
      </c>
      <c r="CY25" s="45"/>
      <c r="CZ25" s="49">
        <v>18403.63</v>
      </c>
      <c r="DA25" s="44">
        <f>SUBTOTAL(9,DB25:DE25)</f>
        <v>11338.8</v>
      </c>
      <c r="DB25" s="45"/>
      <c r="DC25" s="45"/>
      <c r="DD25" s="45"/>
      <c r="DE25" s="49">
        <v>11338.8</v>
      </c>
      <c r="DF25" s="48">
        <v>45032.2</v>
      </c>
      <c r="DG25" s="46"/>
      <c r="DH25" s="46">
        <v>9417.6</v>
      </c>
      <c r="DI25" s="45">
        <f>5000+4887.2</f>
        <v>9887.2000000000007</v>
      </c>
      <c r="DJ25" s="46">
        <v>25727.399999999998</v>
      </c>
      <c r="DK25" s="45">
        <f>SUBTOTAL(9,DL25:DO25)</f>
        <v>23665.63</v>
      </c>
      <c r="DL25" s="45"/>
      <c r="DM25" s="45">
        <v>5262</v>
      </c>
      <c r="DN25" s="45"/>
      <c r="DO25" s="45">
        <v>18403.63</v>
      </c>
      <c r="DP25" s="45">
        <f>SUBTOTAL(9,DQ25:DT25)</f>
        <v>11338.8</v>
      </c>
      <c r="DQ25" s="45"/>
      <c r="DR25" s="45"/>
      <c r="DS25" s="45"/>
      <c r="DT25" s="45">
        <v>11338.8</v>
      </c>
      <c r="DU25" s="50"/>
    </row>
    <row r="26" spans="1:125" customFormat="1" ht="157.5" x14ac:dyDescent="0.2">
      <c r="A26" s="38" t="s">
        <v>207</v>
      </c>
      <c r="B26" s="38" t="s">
        <v>208</v>
      </c>
      <c r="C26" s="39" t="s">
        <v>209</v>
      </c>
      <c r="D26" s="40" t="s">
        <v>467</v>
      </c>
      <c r="E26" s="56" t="s">
        <v>397</v>
      </c>
      <c r="F26" s="56" t="s">
        <v>426</v>
      </c>
      <c r="G26" s="40" t="s">
        <v>0</v>
      </c>
      <c r="H26" s="40" t="s">
        <v>0</v>
      </c>
      <c r="I26" s="40" t="s">
        <v>0</v>
      </c>
      <c r="J26" s="13" t="s">
        <v>0</v>
      </c>
      <c r="K26" s="40" t="s">
        <v>0</v>
      </c>
      <c r="L26" s="40" t="s">
        <v>0</v>
      </c>
      <c r="M26" s="40" t="s">
        <v>0</v>
      </c>
      <c r="N26" s="40" t="s">
        <v>0</v>
      </c>
      <c r="O26" s="40" t="s">
        <v>0</v>
      </c>
      <c r="P26" s="40" t="s">
        <v>0</v>
      </c>
      <c r="Q26" s="13" t="s">
        <v>0</v>
      </c>
      <c r="R26" s="40" t="s">
        <v>0</v>
      </c>
      <c r="S26" s="40" t="s">
        <v>0</v>
      </c>
      <c r="T26" s="40" t="s">
        <v>0</v>
      </c>
      <c r="U26" s="40" t="s">
        <v>0</v>
      </c>
      <c r="V26" s="40" t="s">
        <v>0</v>
      </c>
      <c r="W26" s="40" t="s">
        <v>0</v>
      </c>
      <c r="X26" s="40" t="s">
        <v>0</v>
      </c>
      <c r="Y26" s="40" t="s">
        <v>0</v>
      </c>
      <c r="Z26" s="40" t="s">
        <v>0</v>
      </c>
      <c r="AA26" s="40"/>
      <c r="AB26" s="40" t="s">
        <v>0</v>
      </c>
      <c r="AC26" s="40" t="s">
        <v>0</v>
      </c>
      <c r="AD26" s="40" t="s">
        <v>485</v>
      </c>
      <c r="AE26" s="41"/>
      <c r="AF26" s="41"/>
      <c r="AG26" s="42" t="s">
        <v>53</v>
      </c>
      <c r="AH26" s="43" t="s">
        <v>210</v>
      </c>
      <c r="AI26" s="44">
        <f t="shared" si="115"/>
        <v>28988.99</v>
      </c>
      <c r="AJ26" s="45">
        <f t="shared" si="116"/>
        <v>23808.639999999999</v>
      </c>
      <c r="AK26" s="45">
        <v>0</v>
      </c>
      <c r="AL26" s="52">
        <v>0</v>
      </c>
      <c r="AM26" s="45">
        <v>0</v>
      </c>
      <c r="AN26" s="45">
        <v>0</v>
      </c>
      <c r="AO26" s="45">
        <v>687</v>
      </c>
      <c r="AP26" s="45">
        <v>687</v>
      </c>
      <c r="AQ26" s="46">
        <f>5241.09+23731+16.9-687</f>
        <v>28301.99</v>
      </c>
      <c r="AR26" s="46">
        <f>4393.23+19415.41-687</f>
        <v>23121.64</v>
      </c>
      <c r="AS26" s="45">
        <f>AW26</f>
        <v>61717.3</v>
      </c>
      <c r="AT26" s="45">
        <v>0</v>
      </c>
      <c r="AU26" s="45">
        <v>0</v>
      </c>
      <c r="AV26" s="45"/>
      <c r="AW26" s="45">
        <v>61717.3</v>
      </c>
      <c r="AX26" s="66">
        <f>SUM(AY26:BB26)</f>
        <v>18769.900000000001</v>
      </c>
      <c r="AY26" s="66">
        <v>0</v>
      </c>
      <c r="AZ26" s="66">
        <v>0</v>
      </c>
      <c r="BA26" s="66">
        <v>5500</v>
      </c>
      <c r="BB26" s="66">
        <f>18769.9-5500</f>
        <v>13269.900000000001</v>
      </c>
      <c r="BC26" s="66">
        <f t="shared" si="119"/>
        <v>7769.9</v>
      </c>
      <c r="BD26" s="66">
        <v>0</v>
      </c>
      <c r="BE26" s="66">
        <v>0</v>
      </c>
      <c r="BF26" s="66">
        <v>0</v>
      </c>
      <c r="BG26" s="66">
        <v>7769.9</v>
      </c>
      <c r="BH26" s="66">
        <f t="shared" si="120"/>
        <v>7769.9</v>
      </c>
      <c r="BI26" s="66">
        <v>0</v>
      </c>
      <c r="BJ26" s="66">
        <v>0</v>
      </c>
      <c r="BK26" s="66">
        <v>0</v>
      </c>
      <c r="BL26" s="66">
        <v>7769.9</v>
      </c>
      <c r="BM26" s="44">
        <f t="shared" si="117"/>
        <v>7955.2800000000025</v>
      </c>
      <c r="BN26" s="45">
        <f t="shared" si="118"/>
        <v>7078.1899999999987</v>
      </c>
      <c r="BO26" s="45">
        <v>0</v>
      </c>
      <c r="BP26" s="52">
        <v>0</v>
      </c>
      <c r="BQ26" s="45">
        <v>0</v>
      </c>
      <c r="BR26" s="45">
        <v>0</v>
      </c>
      <c r="BS26" s="45">
        <v>687</v>
      </c>
      <c r="BT26" s="45">
        <v>687</v>
      </c>
      <c r="BU26" s="46">
        <f>5241.09+23731+16.9-687-86.2-19747.51-1200</f>
        <v>7268.2800000000025</v>
      </c>
      <c r="BV26" s="47">
        <f>4393.23+19415.41-687-49.52-15480.93-1200</f>
        <v>6391.1899999999987</v>
      </c>
      <c r="BW26" s="45">
        <f>CA26</f>
        <v>5984.880000000001</v>
      </c>
      <c r="BX26" s="45">
        <v>0</v>
      </c>
      <c r="BY26" s="45">
        <v>0</v>
      </c>
      <c r="BZ26" s="45"/>
      <c r="CA26" s="45">
        <f>1812.5+28847.91-24675.53</f>
        <v>5984.880000000001</v>
      </c>
      <c r="CB26" s="66">
        <f>CF26</f>
        <v>1729.5</v>
      </c>
      <c r="CC26" s="66">
        <v>0</v>
      </c>
      <c r="CD26" s="66">
        <v>0</v>
      </c>
      <c r="CE26" s="66">
        <v>0</v>
      </c>
      <c r="CF26" s="66">
        <f>896+833.5</f>
        <v>1729.5</v>
      </c>
      <c r="CG26" s="66">
        <f t="shared" si="121"/>
        <v>1729.5</v>
      </c>
      <c r="CH26" s="66">
        <v>0</v>
      </c>
      <c r="CI26" s="66">
        <v>0</v>
      </c>
      <c r="CJ26" s="66">
        <v>0</v>
      </c>
      <c r="CK26" s="66">
        <f>896+833.5</f>
        <v>1729.5</v>
      </c>
      <c r="CL26" s="66">
        <f t="shared" si="122"/>
        <v>1729.5</v>
      </c>
      <c r="CM26" s="66">
        <v>0</v>
      </c>
      <c r="CN26" s="66">
        <v>0</v>
      </c>
      <c r="CO26" s="66">
        <v>0</v>
      </c>
      <c r="CP26" s="66">
        <f>896+833.5</f>
        <v>1729.5</v>
      </c>
      <c r="CQ26" s="48">
        <v>28988.99</v>
      </c>
      <c r="CR26" s="46">
        <v>0</v>
      </c>
      <c r="CS26" s="46">
        <v>0</v>
      </c>
      <c r="CT26" s="46">
        <v>687</v>
      </c>
      <c r="CU26" s="47">
        <v>28301.99</v>
      </c>
      <c r="CV26" s="44">
        <f>CZ26</f>
        <v>30660.41</v>
      </c>
      <c r="CW26" s="45">
        <v>0</v>
      </c>
      <c r="CX26" s="45">
        <v>0</v>
      </c>
      <c r="CY26" s="45"/>
      <c r="CZ26" s="49">
        <f>1812.5+28847.91</f>
        <v>30660.41</v>
      </c>
      <c r="DA26" s="67">
        <f>DE26</f>
        <v>1729.5</v>
      </c>
      <c r="DB26" s="66">
        <v>0</v>
      </c>
      <c r="DC26" s="66">
        <v>0</v>
      </c>
      <c r="DD26" s="66">
        <v>0</v>
      </c>
      <c r="DE26" s="68">
        <f>896+833.5</f>
        <v>1729.5</v>
      </c>
      <c r="DF26" s="48">
        <v>7955.2800000000025</v>
      </c>
      <c r="DG26" s="46">
        <v>0</v>
      </c>
      <c r="DH26" s="46">
        <v>0</v>
      </c>
      <c r="DI26" s="45">
        <v>687</v>
      </c>
      <c r="DJ26" s="46">
        <v>7268.2800000000025</v>
      </c>
      <c r="DK26" s="45">
        <f>DO26</f>
        <v>5984.880000000001</v>
      </c>
      <c r="DL26" s="45">
        <v>0</v>
      </c>
      <c r="DM26" s="45">
        <v>0</v>
      </c>
      <c r="DN26" s="45"/>
      <c r="DO26" s="45">
        <f>1812.5+28847.91-24675.53</f>
        <v>5984.880000000001</v>
      </c>
      <c r="DP26" s="66">
        <f>DT26</f>
        <v>1729.5</v>
      </c>
      <c r="DQ26" s="66">
        <v>0</v>
      </c>
      <c r="DR26" s="66">
        <v>0</v>
      </c>
      <c r="DS26" s="66">
        <v>0</v>
      </c>
      <c r="DT26" s="66">
        <f>896+833.5</f>
        <v>1729.5</v>
      </c>
      <c r="DU26" s="50" t="s">
        <v>178</v>
      </c>
    </row>
    <row r="27" spans="1:125" customFormat="1" ht="123.75" x14ac:dyDescent="0.2">
      <c r="A27" s="38" t="s">
        <v>211</v>
      </c>
      <c r="B27" s="38" t="s">
        <v>212</v>
      </c>
      <c r="C27" s="39" t="s">
        <v>213</v>
      </c>
      <c r="D27" s="40" t="s">
        <v>427</v>
      </c>
      <c r="E27" s="56" t="s">
        <v>397</v>
      </c>
      <c r="F27" s="56" t="s">
        <v>404</v>
      </c>
      <c r="G27" s="40" t="s">
        <v>0</v>
      </c>
      <c r="H27" s="40" t="s">
        <v>0</v>
      </c>
      <c r="I27" s="40" t="s">
        <v>0</v>
      </c>
      <c r="J27" s="13" t="s">
        <v>0</v>
      </c>
      <c r="K27" s="40" t="s">
        <v>0</v>
      </c>
      <c r="L27" s="40" t="s">
        <v>0</v>
      </c>
      <c r="M27" s="40" t="s">
        <v>0</v>
      </c>
      <c r="N27" s="40" t="s">
        <v>0</v>
      </c>
      <c r="O27" s="40" t="s">
        <v>0</v>
      </c>
      <c r="P27" s="40" t="s">
        <v>0</v>
      </c>
      <c r="Q27" s="13" t="s">
        <v>0</v>
      </c>
      <c r="R27" s="40" t="s">
        <v>0</v>
      </c>
      <c r="S27" s="40" t="s">
        <v>0</v>
      </c>
      <c r="T27" s="40" t="s">
        <v>0</v>
      </c>
      <c r="U27" s="40" t="s">
        <v>0</v>
      </c>
      <c r="V27" s="40" t="s">
        <v>0</v>
      </c>
      <c r="W27" s="40" t="s">
        <v>0</v>
      </c>
      <c r="X27" s="40" t="s">
        <v>428</v>
      </c>
      <c r="Y27" s="40" t="s">
        <v>0</v>
      </c>
      <c r="Z27" s="40" t="s">
        <v>0</v>
      </c>
      <c r="AA27" s="40" t="s">
        <v>0</v>
      </c>
      <c r="AB27" s="40" t="s">
        <v>0</v>
      </c>
      <c r="AC27" s="40" t="s">
        <v>0</v>
      </c>
      <c r="AD27" s="40" t="s">
        <v>486</v>
      </c>
      <c r="AE27" s="41"/>
      <c r="AF27" s="41"/>
      <c r="AG27" s="42" t="s">
        <v>64</v>
      </c>
      <c r="AH27" s="43" t="s">
        <v>214</v>
      </c>
      <c r="AI27" s="44">
        <f t="shared" si="115"/>
        <v>32359.89</v>
      </c>
      <c r="AJ27" s="45">
        <f t="shared" si="116"/>
        <v>5702.53</v>
      </c>
      <c r="AK27" s="45">
        <v>0</v>
      </c>
      <c r="AL27" s="52">
        <v>0</v>
      </c>
      <c r="AM27" s="45">
        <v>0</v>
      </c>
      <c r="AN27" s="45">
        <v>0</v>
      </c>
      <c r="AO27" s="45">
        <v>0</v>
      </c>
      <c r="AP27" s="45">
        <v>0</v>
      </c>
      <c r="AQ27" s="46">
        <v>32359.89</v>
      </c>
      <c r="AR27" s="46">
        <v>5702.53</v>
      </c>
      <c r="AS27" s="45">
        <f>SUM(AT27:AW27)</f>
        <v>26719.9</v>
      </c>
      <c r="AT27" s="45">
        <v>0</v>
      </c>
      <c r="AU27" s="45">
        <v>0</v>
      </c>
      <c r="AV27" s="45">
        <v>0</v>
      </c>
      <c r="AW27" s="45">
        <v>26719.9</v>
      </c>
      <c r="AX27" s="45">
        <f>SUM(AY27:BB27)</f>
        <v>119453.8</v>
      </c>
      <c r="AY27" s="45">
        <v>0</v>
      </c>
      <c r="AZ27" s="45">
        <v>0</v>
      </c>
      <c r="BA27" s="45">
        <v>0</v>
      </c>
      <c r="BB27" s="45">
        <v>119453.8</v>
      </c>
      <c r="BC27" s="45">
        <v>119009.60000000001</v>
      </c>
      <c r="BD27" s="45">
        <v>0</v>
      </c>
      <c r="BE27" s="45">
        <v>0</v>
      </c>
      <c r="BF27" s="45">
        <v>0</v>
      </c>
      <c r="BG27" s="45">
        <f>BC27</f>
        <v>119009.60000000001</v>
      </c>
      <c r="BH27" s="45">
        <v>123754</v>
      </c>
      <c r="BI27" s="45">
        <v>0</v>
      </c>
      <c r="BJ27" s="45">
        <v>0</v>
      </c>
      <c r="BK27" s="45">
        <v>0</v>
      </c>
      <c r="BL27" s="49">
        <f>BH27</f>
        <v>123754</v>
      </c>
      <c r="BM27" s="44">
        <f t="shared" si="117"/>
        <v>400</v>
      </c>
      <c r="BN27" s="45">
        <f t="shared" si="118"/>
        <v>62.550000000000182</v>
      </c>
      <c r="BO27" s="45">
        <v>0</v>
      </c>
      <c r="BP27" s="52">
        <v>0</v>
      </c>
      <c r="BQ27" s="45">
        <v>0</v>
      </c>
      <c r="BR27" s="45">
        <v>0</v>
      </c>
      <c r="BS27" s="45">
        <v>0</v>
      </c>
      <c r="BT27" s="45">
        <v>0</v>
      </c>
      <c r="BU27" s="46">
        <f>32359.89-31959.89</f>
        <v>400</v>
      </c>
      <c r="BV27" s="47">
        <f>5702.53-5639.98</f>
        <v>62.550000000000182</v>
      </c>
      <c r="BW27" s="45">
        <v>400</v>
      </c>
      <c r="BX27" s="45">
        <v>0</v>
      </c>
      <c r="BY27" s="45">
        <v>0</v>
      </c>
      <c r="BZ27" s="45">
        <v>0</v>
      </c>
      <c r="CA27" s="45">
        <f>BW27</f>
        <v>400</v>
      </c>
      <c r="CB27" s="45">
        <v>400</v>
      </c>
      <c r="CC27" s="45">
        <v>0</v>
      </c>
      <c r="CD27" s="45">
        <v>0</v>
      </c>
      <c r="CE27" s="45">
        <v>0</v>
      </c>
      <c r="CF27" s="45">
        <f>CB27</f>
        <v>400</v>
      </c>
      <c r="CG27" s="45">
        <v>400</v>
      </c>
      <c r="CH27" s="45">
        <v>0</v>
      </c>
      <c r="CI27" s="45">
        <v>0</v>
      </c>
      <c r="CJ27" s="45">
        <v>0</v>
      </c>
      <c r="CK27" s="45">
        <f>CG27</f>
        <v>400</v>
      </c>
      <c r="CL27" s="45">
        <v>400</v>
      </c>
      <c r="CM27" s="45">
        <v>0</v>
      </c>
      <c r="CN27" s="45">
        <v>0</v>
      </c>
      <c r="CO27" s="45">
        <v>0</v>
      </c>
      <c r="CP27" s="49">
        <f>CL27</f>
        <v>400</v>
      </c>
      <c r="CQ27" s="48">
        <v>32359.89</v>
      </c>
      <c r="CR27" s="46">
        <v>0</v>
      </c>
      <c r="CS27" s="46">
        <v>0</v>
      </c>
      <c r="CT27" s="46">
        <v>0</v>
      </c>
      <c r="CU27" s="47">
        <v>32359.89</v>
      </c>
      <c r="CV27" s="44">
        <v>400</v>
      </c>
      <c r="CW27" s="45">
        <v>0</v>
      </c>
      <c r="CX27" s="45">
        <v>0</v>
      </c>
      <c r="CY27" s="45">
        <v>0</v>
      </c>
      <c r="CZ27" s="49">
        <f>CV27</f>
        <v>400</v>
      </c>
      <c r="DA27" s="44">
        <v>400</v>
      </c>
      <c r="DB27" s="45">
        <v>0</v>
      </c>
      <c r="DC27" s="45">
        <v>0</v>
      </c>
      <c r="DD27" s="45">
        <v>0</v>
      </c>
      <c r="DE27" s="49">
        <f>DA27</f>
        <v>400</v>
      </c>
      <c r="DF27" s="48">
        <v>400</v>
      </c>
      <c r="DG27" s="46">
        <v>0</v>
      </c>
      <c r="DH27" s="46">
        <v>0</v>
      </c>
      <c r="DI27" s="45">
        <v>0</v>
      </c>
      <c r="DJ27" s="46">
        <v>400</v>
      </c>
      <c r="DK27" s="45">
        <v>400</v>
      </c>
      <c r="DL27" s="45">
        <v>0</v>
      </c>
      <c r="DM27" s="45">
        <v>0</v>
      </c>
      <c r="DN27" s="45">
        <v>0</v>
      </c>
      <c r="DO27" s="45">
        <f>DK27</f>
        <v>400</v>
      </c>
      <c r="DP27" s="45">
        <v>400</v>
      </c>
      <c r="DQ27" s="45">
        <v>0</v>
      </c>
      <c r="DR27" s="45">
        <v>0</v>
      </c>
      <c r="DS27" s="45">
        <v>0</v>
      </c>
      <c r="DT27" s="45">
        <f>DP27</f>
        <v>400</v>
      </c>
      <c r="DU27" s="50" t="s">
        <v>190</v>
      </c>
    </row>
    <row r="28" spans="1:125" customFormat="1" ht="409.5" x14ac:dyDescent="0.2">
      <c r="A28" s="38" t="s">
        <v>215</v>
      </c>
      <c r="B28" s="38" t="s">
        <v>216</v>
      </c>
      <c r="C28" s="39" t="s">
        <v>217</v>
      </c>
      <c r="D28" s="40" t="s">
        <v>427</v>
      </c>
      <c r="E28" s="56" t="s">
        <v>397</v>
      </c>
      <c r="F28" s="56" t="s">
        <v>404</v>
      </c>
      <c r="G28" s="40" t="s">
        <v>0</v>
      </c>
      <c r="H28" s="40" t="s">
        <v>0</v>
      </c>
      <c r="I28" s="40" t="s">
        <v>0</v>
      </c>
      <c r="J28" s="13" t="s">
        <v>0</v>
      </c>
      <c r="K28" s="40" t="s">
        <v>0</v>
      </c>
      <c r="L28" s="40" t="s">
        <v>0</v>
      </c>
      <c r="M28" s="40" t="s">
        <v>0</v>
      </c>
      <c r="N28" s="40" t="s">
        <v>0</v>
      </c>
      <c r="O28" s="40" t="s">
        <v>0</v>
      </c>
      <c r="P28" s="40" t="s">
        <v>0</v>
      </c>
      <c r="Q28" s="13" t="s">
        <v>0</v>
      </c>
      <c r="R28" s="40" t="s">
        <v>0</v>
      </c>
      <c r="S28" s="40" t="s">
        <v>0</v>
      </c>
      <c r="T28" s="40" t="s">
        <v>0</v>
      </c>
      <c r="U28" s="40" t="s">
        <v>0</v>
      </c>
      <c r="V28" s="40" t="s">
        <v>0</v>
      </c>
      <c r="W28" s="40" t="s">
        <v>0</v>
      </c>
      <c r="X28" s="40" t="s">
        <v>0</v>
      </c>
      <c r="Y28" s="40" t="s">
        <v>0</v>
      </c>
      <c r="Z28" s="40" t="s">
        <v>0</v>
      </c>
      <c r="AA28" s="40" t="s">
        <v>0</v>
      </c>
      <c r="AB28" s="40" t="s">
        <v>0</v>
      </c>
      <c r="AC28" s="40" t="s">
        <v>0</v>
      </c>
      <c r="AD28" s="40" t="s">
        <v>487</v>
      </c>
      <c r="AE28" s="41"/>
      <c r="AF28" s="41"/>
      <c r="AG28" s="42" t="s">
        <v>65</v>
      </c>
      <c r="AH28" s="43" t="s">
        <v>218</v>
      </c>
      <c r="AI28" s="44">
        <f t="shared" si="115"/>
        <v>765.4</v>
      </c>
      <c r="AJ28" s="45">
        <f t="shared" si="116"/>
        <v>428.03</v>
      </c>
      <c r="AK28" s="45">
        <v>0</v>
      </c>
      <c r="AL28" s="52">
        <v>0</v>
      </c>
      <c r="AM28" s="45">
        <v>0</v>
      </c>
      <c r="AN28" s="45">
        <v>0</v>
      </c>
      <c r="AO28" s="45">
        <v>0</v>
      </c>
      <c r="AP28" s="45">
        <v>0</v>
      </c>
      <c r="AQ28" s="46">
        <v>765.4</v>
      </c>
      <c r="AR28" s="46">
        <v>428.03</v>
      </c>
      <c r="AS28" s="45">
        <f>AW28</f>
        <v>119.9</v>
      </c>
      <c r="AT28" s="45">
        <v>0</v>
      </c>
      <c r="AU28" s="45">
        <v>0</v>
      </c>
      <c r="AV28" s="45">
        <v>0</v>
      </c>
      <c r="AW28" s="45">
        <v>119.9</v>
      </c>
      <c r="AX28" s="45">
        <f>6739.2+1256.9</f>
        <v>7996.1</v>
      </c>
      <c r="AY28" s="45">
        <v>0</v>
      </c>
      <c r="AZ28" s="45">
        <v>0</v>
      </c>
      <c r="BA28" s="45">
        <v>0</v>
      </c>
      <c r="BB28" s="45">
        <f>6739.2+1256.9</f>
        <v>7996.1</v>
      </c>
      <c r="BC28" s="45">
        <v>1239.2</v>
      </c>
      <c r="BD28" s="45">
        <v>0</v>
      </c>
      <c r="BE28" s="45">
        <v>0</v>
      </c>
      <c r="BF28" s="45">
        <v>0</v>
      </c>
      <c r="BG28" s="45">
        <f t="shared" ref="BG28" si="123">BC28</f>
        <v>1239.2</v>
      </c>
      <c r="BH28" s="45">
        <v>1239.2</v>
      </c>
      <c r="BI28" s="45">
        <v>0</v>
      </c>
      <c r="BJ28" s="45">
        <v>0</v>
      </c>
      <c r="BK28" s="45">
        <v>0</v>
      </c>
      <c r="BL28" s="49">
        <f t="shared" ref="BL28" si="124">BH28</f>
        <v>1239.2</v>
      </c>
      <c r="BM28" s="44">
        <f t="shared" si="117"/>
        <v>765.4</v>
      </c>
      <c r="BN28" s="45">
        <f t="shared" si="118"/>
        <v>428.03</v>
      </c>
      <c r="BO28" s="45">
        <v>0</v>
      </c>
      <c r="BP28" s="52">
        <v>0</v>
      </c>
      <c r="BQ28" s="45">
        <v>0</v>
      </c>
      <c r="BR28" s="45">
        <v>0</v>
      </c>
      <c r="BS28" s="45">
        <v>0</v>
      </c>
      <c r="BT28" s="45">
        <v>0</v>
      </c>
      <c r="BU28" s="46">
        <v>765.4</v>
      </c>
      <c r="BV28" s="47">
        <v>428.03</v>
      </c>
      <c r="BW28" s="45">
        <v>5550</v>
      </c>
      <c r="BX28" s="45">
        <v>0</v>
      </c>
      <c r="BY28" s="45">
        <v>0</v>
      </c>
      <c r="BZ28" s="45">
        <v>0</v>
      </c>
      <c r="CA28" s="45">
        <f>BW28</f>
        <v>5550</v>
      </c>
      <c r="CB28" s="45">
        <v>314.97000000000003</v>
      </c>
      <c r="CC28" s="45">
        <v>0</v>
      </c>
      <c r="CD28" s="45">
        <v>0</v>
      </c>
      <c r="CE28" s="45">
        <v>0</v>
      </c>
      <c r="CF28" s="45">
        <f>CB28</f>
        <v>314.97000000000003</v>
      </c>
      <c r="CG28" s="45">
        <v>791.25</v>
      </c>
      <c r="CH28" s="45">
        <v>0</v>
      </c>
      <c r="CI28" s="45">
        <v>0</v>
      </c>
      <c r="CJ28" s="45">
        <v>0</v>
      </c>
      <c r="CK28" s="45">
        <f t="shared" ref="CK28" si="125">CG28</f>
        <v>791.25</v>
      </c>
      <c r="CL28" s="45">
        <v>791.25</v>
      </c>
      <c r="CM28" s="45">
        <v>0</v>
      </c>
      <c r="CN28" s="45">
        <v>0</v>
      </c>
      <c r="CO28" s="45">
        <v>0</v>
      </c>
      <c r="CP28" s="49">
        <f t="shared" ref="CP28" si="126">CL28</f>
        <v>791.25</v>
      </c>
      <c r="CQ28" s="48">
        <v>765.4</v>
      </c>
      <c r="CR28" s="46">
        <v>0</v>
      </c>
      <c r="CS28" s="46">
        <v>0</v>
      </c>
      <c r="CT28" s="46">
        <v>0</v>
      </c>
      <c r="CU28" s="47">
        <v>765.4</v>
      </c>
      <c r="CV28" s="44">
        <v>5550</v>
      </c>
      <c r="CW28" s="45">
        <v>0</v>
      </c>
      <c r="CX28" s="45">
        <v>0</v>
      </c>
      <c r="CY28" s="45">
        <v>0</v>
      </c>
      <c r="CZ28" s="49">
        <f>CV28</f>
        <v>5550</v>
      </c>
      <c r="DA28" s="44">
        <v>314.97000000000003</v>
      </c>
      <c r="DB28" s="45">
        <v>0</v>
      </c>
      <c r="DC28" s="45">
        <v>0</v>
      </c>
      <c r="DD28" s="45">
        <v>0</v>
      </c>
      <c r="DE28" s="49">
        <f>DA28</f>
        <v>314.97000000000003</v>
      </c>
      <c r="DF28" s="48">
        <v>765.4</v>
      </c>
      <c r="DG28" s="46">
        <v>0</v>
      </c>
      <c r="DH28" s="46">
        <v>0</v>
      </c>
      <c r="DI28" s="45">
        <v>0</v>
      </c>
      <c r="DJ28" s="46">
        <v>765.4</v>
      </c>
      <c r="DK28" s="45">
        <v>5550</v>
      </c>
      <c r="DL28" s="45">
        <v>0</v>
      </c>
      <c r="DM28" s="45">
        <v>0</v>
      </c>
      <c r="DN28" s="45">
        <v>0</v>
      </c>
      <c r="DO28" s="45">
        <f>DK28</f>
        <v>5550</v>
      </c>
      <c r="DP28" s="45">
        <v>314.97000000000003</v>
      </c>
      <c r="DQ28" s="45">
        <v>0</v>
      </c>
      <c r="DR28" s="45">
        <v>0</v>
      </c>
      <c r="DS28" s="45">
        <v>0</v>
      </c>
      <c r="DT28" s="45">
        <f>DP28</f>
        <v>314.97000000000003</v>
      </c>
      <c r="DU28" s="50" t="s">
        <v>190</v>
      </c>
    </row>
    <row r="29" spans="1:125" customFormat="1" ht="281.25" x14ac:dyDescent="0.2">
      <c r="A29" s="38" t="s">
        <v>627</v>
      </c>
      <c r="B29" s="38" t="s">
        <v>628</v>
      </c>
      <c r="C29" s="39" t="s">
        <v>629</v>
      </c>
      <c r="D29" s="55" t="s">
        <v>630</v>
      </c>
      <c r="E29" s="55" t="s">
        <v>397</v>
      </c>
      <c r="F29" s="55" t="s">
        <v>631</v>
      </c>
      <c r="G29" s="55" t="s">
        <v>632</v>
      </c>
      <c r="H29" s="55" t="s">
        <v>397</v>
      </c>
      <c r="I29" s="55" t="s">
        <v>612</v>
      </c>
      <c r="J29" s="55">
        <v>1033</v>
      </c>
      <c r="K29" s="55" t="s">
        <v>0</v>
      </c>
      <c r="L29" s="55" t="s">
        <v>0</v>
      </c>
      <c r="M29" s="55" t="s">
        <v>0</v>
      </c>
      <c r="N29" s="55" t="s">
        <v>0</v>
      </c>
      <c r="O29" s="55" t="s">
        <v>0</v>
      </c>
      <c r="P29" s="55" t="s">
        <v>0</v>
      </c>
      <c r="Q29" s="55" t="s">
        <v>0</v>
      </c>
      <c r="R29" s="55" t="s">
        <v>0</v>
      </c>
      <c r="S29" s="55" t="s">
        <v>0</v>
      </c>
      <c r="T29" s="55" t="s">
        <v>0</v>
      </c>
      <c r="U29" s="55" t="s">
        <v>0</v>
      </c>
      <c r="V29" s="55" t="s">
        <v>0</v>
      </c>
      <c r="W29" s="55" t="s">
        <v>0</v>
      </c>
      <c r="X29" s="55" t="s">
        <v>633</v>
      </c>
      <c r="Y29" s="55" t="s">
        <v>397</v>
      </c>
      <c r="Z29" s="55" t="s">
        <v>634</v>
      </c>
      <c r="AA29" s="55" t="s">
        <v>635</v>
      </c>
      <c r="AB29" s="55" t="s">
        <v>397</v>
      </c>
      <c r="AC29" s="55" t="s">
        <v>636</v>
      </c>
      <c r="AD29" s="55" t="s">
        <v>677</v>
      </c>
      <c r="AE29" s="41"/>
      <c r="AF29" s="41"/>
      <c r="AG29" s="42" t="s">
        <v>52</v>
      </c>
      <c r="AH29" s="43" t="s">
        <v>615</v>
      </c>
      <c r="AI29" s="44">
        <f t="shared" si="115"/>
        <v>125552.37</v>
      </c>
      <c r="AJ29" s="45">
        <f t="shared" si="116"/>
        <v>107054.34</v>
      </c>
      <c r="AK29" s="45">
        <v>5000</v>
      </c>
      <c r="AL29" s="45">
        <v>5000</v>
      </c>
      <c r="AM29" s="45"/>
      <c r="AN29" s="45"/>
      <c r="AO29" s="45"/>
      <c r="AP29" s="45"/>
      <c r="AQ29" s="46">
        <f>120657.37-105</f>
        <v>120552.37</v>
      </c>
      <c r="AR29" s="46">
        <f>102159.34-105</f>
        <v>102054.34</v>
      </c>
      <c r="AS29" s="45">
        <f>AW29</f>
        <v>120816.4</v>
      </c>
      <c r="AT29" s="45"/>
      <c r="AU29" s="45"/>
      <c r="AV29" s="45"/>
      <c r="AW29" s="45">
        <v>120816.4</v>
      </c>
      <c r="AX29" s="45">
        <f>BB29</f>
        <v>106659.2</v>
      </c>
      <c r="AY29" s="45"/>
      <c r="AZ29" s="45"/>
      <c r="BA29" s="45"/>
      <c r="BB29" s="45">
        <v>106659.2</v>
      </c>
      <c r="BC29" s="45">
        <f>BG29</f>
        <v>101915.6</v>
      </c>
      <c r="BD29" s="45"/>
      <c r="BE29" s="45"/>
      <c r="BF29" s="45"/>
      <c r="BG29" s="45">
        <v>101915.6</v>
      </c>
      <c r="BH29" s="45">
        <f>BL29</f>
        <v>101915.6</v>
      </c>
      <c r="BI29" s="45"/>
      <c r="BJ29" s="45"/>
      <c r="BK29" s="45"/>
      <c r="BL29" s="45">
        <v>101915.6</v>
      </c>
      <c r="BM29" s="44">
        <f t="shared" si="117"/>
        <v>94721.51</v>
      </c>
      <c r="BN29" s="45">
        <f t="shared" si="118"/>
        <v>91945.19</v>
      </c>
      <c r="BO29" s="45">
        <f>5000-4927.9</f>
        <v>72.100000000000364</v>
      </c>
      <c r="BP29" s="45">
        <f>5000-4927.9</f>
        <v>72.100000000000364</v>
      </c>
      <c r="BQ29" s="45"/>
      <c r="BR29" s="45"/>
      <c r="BS29" s="45"/>
      <c r="BT29" s="45"/>
      <c r="BU29" s="46">
        <f>120657.37-105-24621.59-378.41-902.96</f>
        <v>94649.409999999989</v>
      </c>
      <c r="BV29" s="47">
        <f>102159.34-105-9002.84-378.41-800</f>
        <v>91873.09</v>
      </c>
      <c r="BW29" s="45">
        <f>CA29</f>
        <v>89817.29</v>
      </c>
      <c r="BX29" s="45"/>
      <c r="BY29" s="45"/>
      <c r="BZ29" s="45"/>
      <c r="CA29" s="45">
        <f>91977.29-105-155-1900</f>
        <v>89817.29</v>
      </c>
      <c r="CB29" s="45">
        <f>CF29</f>
        <v>88855.15</v>
      </c>
      <c r="CC29" s="45"/>
      <c r="CD29" s="45"/>
      <c r="CE29" s="45"/>
      <c r="CF29" s="45">
        <f>90015.15-105-155-900</f>
        <v>88855.15</v>
      </c>
      <c r="CG29" s="45">
        <f>CK29</f>
        <v>88873.68</v>
      </c>
      <c r="CH29" s="45"/>
      <c r="CI29" s="45"/>
      <c r="CJ29" s="45"/>
      <c r="CK29" s="45">
        <f>90033.68-105-155-900</f>
        <v>88873.68</v>
      </c>
      <c r="CL29" s="45">
        <f>CP29</f>
        <v>88873.68</v>
      </c>
      <c r="CM29" s="45"/>
      <c r="CN29" s="45"/>
      <c r="CO29" s="45"/>
      <c r="CP29" s="45">
        <f>90033.68-105-155-900</f>
        <v>88873.68</v>
      </c>
      <c r="CQ29" s="48">
        <v>125552.37</v>
      </c>
      <c r="CR29" s="46">
        <v>5000</v>
      </c>
      <c r="CS29" s="46"/>
      <c r="CT29" s="46"/>
      <c r="CU29" s="47">
        <v>120552.37</v>
      </c>
      <c r="CV29" s="44">
        <f>CZ29</f>
        <v>91872.29</v>
      </c>
      <c r="CW29" s="45"/>
      <c r="CX29" s="45"/>
      <c r="CY29" s="45"/>
      <c r="CZ29" s="49">
        <f>91977.29-105</f>
        <v>91872.29</v>
      </c>
      <c r="DA29" s="44">
        <f>DE29</f>
        <v>89910.15</v>
      </c>
      <c r="DB29" s="45"/>
      <c r="DC29" s="45"/>
      <c r="DD29" s="45"/>
      <c r="DE29" s="49">
        <f>90015.15-105</f>
        <v>89910.15</v>
      </c>
      <c r="DF29" s="48">
        <v>94721.51</v>
      </c>
      <c r="DG29" s="46">
        <v>72.100000000000364</v>
      </c>
      <c r="DH29" s="46"/>
      <c r="DI29" s="45"/>
      <c r="DJ29" s="46">
        <v>94649.409999999989</v>
      </c>
      <c r="DK29" s="45">
        <f>DO29</f>
        <v>89817.29</v>
      </c>
      <c r="DL29" s="45"/>
      <c r="DM29" s="45"/>
      <c r="DN29" s="45"/>
      <c r="DO29" s="45">
        <f>91977.29-105-155-1900</f>
        <v>89817.29</v>
      </c>
      <c r="DP29" s="45">
        <f>DT29</f>
        <v>88855.15</v>
      </c>
      <c r="DQ29" s="45"/>
      <c r="DR29" s="45"/>
      <c r="DS29" s="45"/>
      <c r="DT29" s="45">
        <f>90015.15-105-155-900</f>
        <v>88855.15</v>
      </c>
      <c r="DU29" s="50"/>
    </row>
    <row r="30" spans="1:125" customFormat="1" ht="112.5" x14ac:dyDescent="0.2">
      <c r="A30" s="38" t="s">
        <v>644</v>
      </c>
      <c r="B30" s="38" t="s">
        <v>645</v>
      </c>
      <c r="C30" s="39" t="s">
        <v>646</v>
      </c>
      <c r="D30" s="55" t="s">
        <v>427</v>
      </c>
      <c r="E30" s="55" t="s">
        <v>397</v>
      </c>
      <c r="F30" s="55" t="s">
        <v>647</v>
      </c>
      <c r="G30" s="55" t="s">
        <v>0</v>
      </c>
      <c r="H30" s="55" t="s">
        <v>0</v>
      </c>
      <c r="I30" s="55" t="s">
        <v>0</v>
      </c>
      <c r="J30" s="55" t="s">
        <v>0</v>
      </c>
      <c r="K30" s="55" t="s">
        <v>0</v>
      </c>
      <c r="L30" s="55" t="s">
        <v>0</v>
      </c>
      <c r="M30" s="55" t="s">
        <v>0</v>
      </c>
      <c r="N30" s="55" t="s">
        <v>0</v>
      </c>
      <c r="O30" s="55" t="s">
        <v>0</v>
      </c>
      <c r="P30" s="55" t="s">
        <v>0</v>
      </c>
      <c r="Q30" s="55" t="s">
        <v>0</v>
      </c>
      <c r="R30" s="55" t="s">
        <v>0</v>
      </c>
      <c r="S30" s="55" t="s">
        <v>0</v>
      </c>
      <c r="T30" s="55" t="s">
        <v>0</v>
      </c>
      <c r="U30" s="55" t="s">
        <v>0</v>
      </c>
      <c r="V30" s="55" t="s">
        <v>0</v>
      </c>
      <c r="W30" s="55" t="s">
        <v>0</v>
      </c>
      <c r="X30" s="55" t="s">
        <v>648</v>
      </c>
      <c r="Y30" s="55" t="s">
        <v>397</v>
      </c>
      <c r="Z30" s="55" t="s">
        <v>649</v>
      </c>
      <c r="AA30" s="55" t="s">
        <v>0</v>
      </c>
      <c r="AB30" s="55" t="s">
        <v>0</v>
      </c>
      <c r="AC30" s="55" t="s">
        <v>0</v>
      </c>
      <c r="AD30" s="55" t="s">
        <v>678</v>
      </c>
      <c r="AE30" s="41"/>
      <c r="AF30" s="41"/>
      <c r="AG30" s="42" t="s">
        <v>52</v>
      </c>
      <c r="AH30" s="43" t="s">
        <v>220</v>
      </c>
      <c r="AI30" s="44">
        <f t="shared" si="115"/>
        <v>18114.12</v>
      </c>
      <c r="AJ30" s="45">
        <f t="shared" si="116"/>
        <v>16860.060000000001</v>
      </c>
      <c r="AK30" s="45"/>
      <c r="AL30" s="45"/>
      <c r="AM30" s="45"/>
      <c r="AN30" s="45"/>
      <c r="AO30" s="45">
        <v>10000</v>
      </c>
      <c r="AP30" s="45">
        <v>10000</v>
      </c>
      <c r="AQ30" s="45">
        <f>18114.12-10000</f>
        <v>8114.119999999999</v>
      </c>
      <c r="AR30" s="45">
        <f>16860.06-10000</f>
        <v>6860.0600000000013</v>
      </c>
      <c r="AS30" s="45">
        <f>SUBTOTAL(9,AT30:AW30)</f>
        <v>18211.099999999999</v>
      </c>
      <c r="AT30" s="45"/>
      <c r="AU30" s="45"/>
      <c r="AV30" s="45">
        <f>10000</f>
        <v>10000</v>
      </c>
      <c r="AW30" s="45">
        <v>8211.1</v>
      </c>
      <c r="AX30" s="45">
        <f>BB30</f>
        <v>20900</v>
      </c>
      <c r="AY30" s="45"/>
      <c r="AZ30" s="45"/>
      <c r="BA30" s="45"/>
      <c r="BB30" s="45">
        <v>20900</v>
      </c>
      <c r="BC30" s="45">
        <f>BG30</f>
        <v>10800</v>
      </c>
      <c r="BD30" s="45"/>
      <c r="BE30" s="45"/>
      <c r="BF30" s="45"/>
      <c r="BG30" s="45">
        <v>10800</v>
      </c>
      <c r="BH30" s="45">
        <f>BL30</f>
        <v>10800</v>
      </c>
      <c r="BI30" s="45"/>
      <c r="BJ30" s="45"/>
      <c r="BK30" s="45"/>
      <c r="BL30" s="45">
        <v>10800</v>
      </c>
      <c r="BM30" s="44">
        <f t="shared" si="117"/>
        <v>16214.119999999999</v>
      </c>
      <c r="BN30" s="45">
        <f t="shared" si="118"/>
        <v>15814.350000000002</v>
      </c>
      <c r="BO30" s="45"/>
      <c r="BP30" s="45"/>
      <c r="BQ30" s="45"/>
      <c r="BR30" s="45"/>
      <c r="BS30" s="45">
        <v>10000</v>
      </c>
      <c r="BT30" s="45">
        <v>10000</v>
      </c>
      <c r="BU30" s="45">
        <f>18114.12-10000-1900</f>
        <v>6214.119999999999</v>
      </c>
      <c r="BV30" s="49">
        <f>16860.06-10000-1045.71</f>
        <v>5814.3500000000013</v>
      </c>
      <c r="BW30" s="45">
        <f>SUBTOTAL(9,BX30:CA30)</f>
        <v>20414.12</v>
      </c>
      <c r="BX30" s="45"/>
      <c r="BY30" s="45"/>
      <c r="BZ30" s="45">
        <f>10000</f>
        <v>10000</v>
      </c>
      <c r="CA30" s="45">
        <f>20914.12-10000-500</f>
        <v>10414.119999999999</v>
      </c>
      <c r="CB30" s="45">
        <f>CF30</f>
        <v>2264.8200000000002</v>
      </c>
      <c r="CC30" s="45"/>
      <c r="CD30" s="45"/>
      <c r="CE30" s="45"/>
      <c r="CF30" s="45">
        <f>2264.82</f>
        <v>2264.8200000000002</v>
      </c>
      <c r="CG30" s="45">
        <f>CK30</f>
        <v>2264.8200000000002</v>
      </c>
      <c r="CH30" s="45"/>
      <c r="CI30" s="45"/>
      <c r="CJ30" s="45"/>
      <c r="CK30" s="45">
        <f>2264.82</f>
        <v>2264.8200000000002</v>
      </c>
      <c r="CL30" s="45">
        <f>CP30</f>
        <v>2264.8200000000002</v>
      </c>
      <c r="CM30" s="45"/>
      <c r="CN30" s="45"/>
      <c r="CO30" s="45"/>
      <c r="CP30" s="45">
        <f>2264.82</f>
        <v>2264.8200000000002</v>
      </c>
      <c r="CQ30" s="48">
        <v>18114.12</v>
      </c>
      <c r="CR30" s="46"/>
      <c r="CS30" s="46"/>
      <c r="CT30" s="46">
        <v>10000</v>
      </c>
      <c r="CU30" s="47">
        <v>8114.119999999999</v>
      </c>
      <c r="CV30" s="44">
        <f>CZ30</f>
        <v>20914.12</v>
      </c>
      <c r="CW30" s="45"/>
      <c r="CX30" s="45"/>
      <c r="CY30" s="45"/>
      <c r="CZ30" s="49">
        <v>20914.12</v>
      </c>
      <c r="DA30" s="44">
        <f>DE30</f>
        <v>2264.8200000000002</v>
      </c>
      <c r="DB30" s="45"/>
      <c r="DC30" s="45"/>
      <c r="DD30" s="45"/>
      <c r="DE30" s="49">
        <f>2264.82</f>
        <v>2264.8200000000002</v>
      </c>
      <c r="DF30" s="48">
        <v>16214.119999999999</v>
      </c>
      <c r="DG30" s="46"/>
      <c r="DH30" s="46"/>
      <c r="DI30" s="45">
        <v>10000</v>
      </c>
      <c r="DJ30" s="46">
        <v>6214.119999999999</v>
      </c>
      <c r="DK30" s="45">
        <f>SUBTOTAL(9,DL30:DO30)</f>
        <v>20414.12</v>
      </c>
      <c r="DL30" s="45"/>
      <c r="DM30" s="45"/>
      <c r="DN30" s="45">
        <f>10000</f>
        <v>10000</v>
      </c>
      <c r="DO30" s="45">
        <f>20914.12-10000-500</f>
        <v>10414.119999999999</v>
      </c>
      <c r="DP30" s="45">
        <f>DT30</f>
        <v>2264.8200000000002</v>
      </c>
      <c r="DQ30" s="45"/>
      <c r="DR30" s="45"/>
      <c r="DS30" s="45"/>
      <c r="DT30" s="45">
        <f>2264.82</f>
        <v>2264.8200000000002</v>
      </c>
      <c r="DU30" s="50"/>
    </row>
    <row r="31" spans="1:125" customFormat="1" ht="225" x14ac:dyDescent="0.2">
      <c r="A31" s="38" t="s">
        <v>221</v>
      </c>
      <c r="B31" s="38" t="s">
        <v>222</v>
      </c>
      <c r="C31" s="39" t="s">
        <v>223</v>
      </c>
      <c r="D31" s="40" t="s">
        <v>429</v>
      </c>
      <c r="E31" s="56" t="s">
        <v>419</v>
      </c>
      <c r="F31" s="56" t="s">
        <v>430</v>
      </c>
      <c r="G31" s="40" t="s">
        <v>0</v>
      </c>
      <c r="H31" s="40" t="s">
        <v>0</v>
      </c>
      <c r="I31" s="40" t="s">
        <v>0</v>
      </c>
      <c r="J31" s="13" t="s">
        <v>0</v>
      </c>
      <c r="K31" s="40" t="s">
        <v>0</v>
      </c>
      <c r="L31" s="40" t="s">
        <v>0</v>
      </c>
      <c r="M31" s="40" t="s">
        <v>0</v>
      </c>
      <c r="N31" s="40" t="s">
        <v>0</v>
      </c>
      <c r="O31" s="40" t="s">
        <v>0</v>
      </c>
      <c r="P31" s="40" t="s">
        <v>0</v>
      </c>
      <c r="Q31" s="13" t="s">
        <v>0</v>
      </c>
      <c r="R31" s="40" t="s">
        <v>0</v>
      </c>
      <c r="S31" s="40" t="s">
        <v>0</v>
      </c>
      <c r="T31" s="40" t="s">
        <v>0</v>
      </c>
      <c r="U31" s="40" t="s">
        <v>0</v>
      </c>
      <c r="V31" s="40" t="s">
        <v>0</v>
      </c>
      <c r="W31" s="40" t="s">
        <v>0</v>
      </c>
      <c r="X31" s="40" t="s">
        <v>431</v>
      </c>
      <c r="Y31" s="40" t="s">
        <v>397</v>
      </c>
      <c r="Z31" s="40" t="s">
        <v>432</v>
      </c>
      <c r="AA31" s="40" t="s">
        <v>0</v>
      </c>
      <c r="AB31" s="40" t="s">
        <v>0</v>
      </c>
      <c r="AC31" s="40" t="s">
        <v>0</v>
      </c>
      <c r="AD31" s="40" t="s">
        <v>488</v>
      </c>
      <c r="AE31" s="41"/>
      <c r="AF31" s="41"/>
      <c r="AG31" s="42" t="s">
        <v>47</v>
      </c>
      <c r="AH31" s="43" t="s">
        <v>224</v>
      </c>
      <c r="AI31" s="44">
        <f t="shared" si="115"/>
        <v>8840</v>
      </c>
      <c r="AJ31" s="45">
        <f t="shared" si="116"/>
        <v>2258</v>
      </c>
      <c r="AK31" s="45">
        <v>0</v>
      </c>
      <c r="AL31" s="52">
        <v>0</v>
      </c>
      <c r="AM31" s="45">
        <v>0</v>
      </c>
      <c r="AN31" s="45">
        <v>0</v>
      </c>
      <c r="AO31" s="45">
        <v>0</v>
      </c>
      <c r="AP31" s="45">
        <v>0</v>
      </c>
      <c r="AQ31" s="46">
        <v>8840</v>
      </c>
      <c r="AR31" s="46">
        <v>2258</v>
      </c>
      <c r="AS31" s="45">
        <f>SUM(AT31:AW31)</f>
        <v>30720.3</v>
      </c>
      <c r="AT31" s="45">
        <v>0</v>
      </c>
      <c r="AU31" s="45">
        <v>0</v>
      </c>
      <c r="AV31" s="45">
        <v>0</v>
      </c>
      <c r="AW31" s="45">
        <f>32720.3-2000</f>
        <v>30720.3</v>
      </c>
      <c r="AX31" s="45">
        <v>0</v>
      </c>
      <c r="AY31" s="45">
        <v>0</v>
      </c>
      <c r="AZ31" s="45">
        <v>0</v>
      </c>
      <c r="BA31" s="45">
        <v>0</v>
      </c>
      <c r="BB31" s="45"/>
      <c r="BC31" s="45"/>
      <c r="BD31" s="45">
        <v>0</v>
      </c>
      <c r="BE31" s="45">
        <v>0</v>
      </c>
      <c r="BF31" s="45">
        <v>0</v>
      </c>
      <c r="BG31" s="45">
        <f>BC31</f>
        <v>0</v>
      </c>
      <c r="BH31" s="45"/>
      <c r="BI31" s="45">
        <v>0</v>
      </c>
      <c r="BJ31" s="45">
        <v>0</v>
      </c>
      <c r="BK31" s="45">
        <v>0</v>
      </c>
      <c r="BL31" s="49">
        <f>BH31</f>
        <v>0</v>
      </c>
      <c r="BM31" s="44">
        <f t="shared" si="117"/>
        <v>8840</v>
      </c>
      <c r="BN31" s="45">
        <f t="shared" si="118"/>
        <v>2258</v>
      </c>
      <c r="BO31" s="45">
        <v>0</v>
      </c>
      <c r="BP31" s="52">
        <v>0</v>
      </c>
      <c r="BQ31" s="45">
        <v>0</v>
      </c>
      <c r="BR31" s="45">
        <v>0</v>
      </c>
      <c r="BS31" s="45">
        <v>0</v>
      </c>
      <c r="BT31" s="45">
        <v>0</v>
      </c>
      <c r="BU31" s="46">
        <v>8840</v>
      </c>
      <c r="BV31" s="47">
        <v>2258</v>
      </c>
      <c r="BW31" s="45">
        <v>5000</v>
      </c>
      <c r="BX31" s="45">
        <v>0</v>
      </c>
      <c r="BY31" s="45">
        <v>0</v>
      </c>
      <c r="BZ31" s="45">
        <v>0</v>
      </c>
      <c r="CA31" s="45">
        <f>BW31</f>
        <v>5000</v>
      </c>
      <c r="CB31" s="45">
        <v>5000</v>
      </c>
      <c r="CC31" s="45">
        <v>0</v>
      </c>
      <c r="CD31" s="45">
        <v>0</v>
      </c>
      <c r="CE31" s="45">
        <v>0</v>
      </c>
      <c r="CF31" s="45">
        <f>CB31</f>
        <v>5000</v>
      </c>
      <c r="CG31" s="45">
        <v>5000</v>
      </c>
      <c r="CH31" s="45">
        <v>0</v>
      </c>
      <c r="CI31" s="45">
        <v>0</v>
      </c>
      <c r="CJ31" s="45">
        <v>0</v>
      </c>
      <c r="CK31" s="45">
        <f>CG31</f>
        <v>5000</v>
      </c>
      <c r="CL31" s="45">
        <v>5000</v>
      </c>
      <c r="CM31" s="45">
        <v>0</v>
      </c>
      <c r="CN31" s="45">
        <v>0</v>
      </c>
      <c r="CO31" s="45">
        <v>0</v>
      </c>
      <c r="CP31" s="49">
        <f>CL31</f>
        <v>5000</v>
      </c>
      <c r="CQ31" s="48">
        <v>8840</v>
      </c>
      <c r="CR31" s="46">
        <v>0</v>
      </c>
      <c r="CS31" s="46">
        <v>0</v>
      </c>
      <c r="CT31" s="46">
        <v>0</v>
      </c>
      <c r="CU31" s="47">
        <v>8840</v>
      </c>
      <c r="CV31" s="44">
        <v>5000</v>
      </c>
      <c r="CW31" s="45">
        <v>0</v>
      </c>
      <c r="CX31" s="45">
        <v>0</v>
      </c>
      <c r="CY31" s="45">
        <v>0</v>
      </c>
      <c r="CZ31" s="49">
        <f>CV31</f>
        <v>5000</v>
      </c>
      <c r="DA31" s="44">
        <v>5000</v>
      </c>
      <c r="DB31" s="45">
        <v>0</v>
      </c>
      <c r="DC31" s="45">
        <v>0</v>
      </c>
      <c r="DD31" s="45">
        <v>0</v>
      </c>
      <c r="DE31" s="49">
        <f>DA31</f>
        <v>5000</v>
      </c>
      <c r="DF31" s="48">
        <v>8840</v>
      </c>
      <c r="DG31" s="46">
        <v>0</v>
      </c>
      <c r="DH31" s="46">
        <v>0</v>
      </c>
      <c r="DI31" s="45">
        <v>0</v>
      </c>
      <c r="DJ31" s="46">
        <v>8840</v>
      </c>
      <c r="DK31" s="45">
        <v>5000</v>
      </c>
      <c r="DL31" s="45">
        <v>0</v>
      </c>
      <c r="DM31" s="45">
        <v>0</v>
      </c>
      <c r="DN31" s="45">
        <v>0</v>
      </c>
      <c r="DO31" s="45">
        <f>DK31</f>
        <v>5000</v>
      </c>
      <c r="DP31" s="45">
        <v>5000</v>
      </c>
      <c r="DQ31" s="45">
        <v>0</v>
      </c>
      <c r="DR31" s="45">
        <v>0</v>
      </c>
      <c r="DS31" s="45">
        <v>0</v>
      </c>
      <c r="DT31" s="45">
        <f>DP31</f>
        <v>5000</v>
      </c>
      <c r="DU31" s="50" t="s">
        <v>178</v>
      </c>
    </row>
    <row r="32" spans="1:125" customFormat="1" ht="180" x14ac:dyDescent="0.2">
      <c r="A32" s="38" t="s">
        <v>225</v>
      </c>
      <c r="B32" s="38" t="s">
        <v>226</v>
      </c>
      <c r="C32" s="39" t="s">
        <v>227</v>
      </c>
      <c r="D32" s="40" t="s">
        <v>429</v>
      </c>
      <c r="E32" s="40" t="s">
        <v>419</v>
      </c>
      <c r="F32" s="40" t="s">
        <v>430</v>
      </c>
      <c r="G32" s="40" t="s">
        <v>0</v>
      </c>
      <c r="H32" s="40" t="s">
        <v>0</v>
      </c>
      <c r="I32" s="40" t="s">
        <v>0</v>
      </c>
      <c r="J32" s="13" t="s">
        <v>0</v>
      </c>
      <c r="K32" s="40" t="s">
        <v>0</v>
      </c>
      <c r="L32" s="40" t="s">
        <v>0</v>
      </c>
      <c r="M32" s="40" t="s">
        <v>0</v>
      </c>
      <c r="N32" s="40" t="s">
        <v>0</v>
      </c>
      <c r="O32" s="40" t="s">
        <v>0</v>
      </c>
      <c r="P32" s="40" t="s">
        <v>0</v>
      </c>
      <c r="Q32" s="13" t="s">
        <v>0</v>
      </c>
      <c r="R32" s="40" t="s">
        <v>0</v>
      </c>
      <c r="S32" s="40" t="s">
        <v>0</v>
      </c>
      <c r="T32" s="40" t="s">
        <v>0</v>
      </c>
      <c r="U32" s="40" t="s">
        <v>0</v>
      </c>
      <c r="V32" s="40" t="s">
        <v>0</v>
      </c>
      <c r="W32" s="40" t="s">
        <v>0</v>
      </c>
      <c r="X32" s="40" t="s">
        <v>431</v>
      </c>
      <c r="Y32" s="40" t="s">
        <v>397</v>
      </c>
      <c r="Z32" s="40" t="s">
        <v>432</v>
      </c>
      <c r="AA32" s="40" t="s">
        <v>0</v>
      </c>
      <c r="AB32" s="40" t="s">
        <v>0</v>
      </c>
      <c r="AC32" s="40" t="s">
        <v>0</v>
      </c>
      <c r="AD32" s="40" t="s">
        <v>489</v>
      </c>
      <c r="AE32" s="41"/>
      <c r="AF32" s="41"/>
      <c r="AG32" s="42" t="s">
        <v>47</v>
      </c>
      <c r="AH32" s="43" t="s">
        <v>224</v>
      </c>
      <c r="AI32" s="44">
        <f t="shared" si="115"/>
        <v>3400</v>
      </c>
      <c r="AJ32" s="45">
        <f t="shared" si="116"/>
        <v>3400</v>
      </c>
      <c r="AK32" s="45">
        <v>0</v>
      </c>
      <c r="AL32" s="52">
        <v>0</v>
      </c>
      <c r="AM32" s="45">
        <v>0</v>
      </c>
      <c r="AN32" s="45">
        <v>0</v>
      </c>
      <c r="AO32" s="45">
        <v>0</v>
      </c>
      <c r="AP32" s="45">
        <v>0</v>
      </c>
      <c r="AQ32" s="46">
        <v>3400</v>
      </c>
      <c r="AR32" s="46">
        <v>3400</v>
      </c>
      <c r="AS32" s="45">
        <v>0</v>
      </c>
      <c r="AT32" s="45">
        <v>0</v>
      </c>
      <c r="AU32" s="45">
        <v>0</v>
      </c>
      <c r="AV32" s="45">
        <v>0</v>
      </c>
      <c r="AW32" s="45">
        <v>0</v>
      </c>
      <c r="AX32" s="45">
        <f>SUM(AY32:BB32)</f>
        <v>0</v>
      </c>
      <c r="AY32" s="45">
        <v>0</v>
      </c>
      <c r="AZ32" s="45">
        <v>0</v>
      </c>
      <c r="BA32" s="45">
        <v>0</v>
      </c>
      <c r="BB32" s="45"/>
      <c r="BC32" s="45">
        <v>0</v>
      </c>
      <c r="BD32" s="45">
        <v>0</v>
      </c>
      <c r="BE32" s="45">
        <v>0</v>
      </c>
      <c r="BF32" s="45">
        <v>0</v>
      </c>
      <c r="BG32" s="45">
        <v>0</v>
      </c>
      <c r="BH32" s="45">
        <v>0</v>
      </c>
      <c r="BI32" s="45">
        <v>0</v>
      </c>
      <c r="BJ32" s="45">
        <v>0</v>
      </c>
      <c r="BK32" s="45">
        <v>0</v>
      </c>
      <c r="BL32" s="49">
        <v>0</v>
      </c>
      <c r="BM32" s="44">
        <f t="shared" si="117"/>
        <v>3400</v>
      </c>
      <c r="BN32" s="45">
        <f t="shared" si="118"/>
        <v>3400</v>
      </c>
      <c r="BO32" s="45">
        <v>0</v>
      </c>
      <c r="BP32" s="52">
        <v>0</v>
      </c>
      <c r="BQ32" s="45">
        <v>0</v>
      </c>
      <c r="BR32" s="45">
        <v>0</v>
      </c>
      <c r="BS32" s="45">
        <v>0</v>
      </c>
      <c r="BT32" s="45">
        <v>0</v>
      </c>
      <c r="BU32" s="46">
        <v>3400</v>
      </c>
      <c r="BV32" s="47">
        <v>3400</v>
      </c>
      <c r="BW32" s="45">
        <v>0</v>
      </c>
      <c r="BX32" s="45">
        <v>0</v>
      </c>
      <c r="BY32" s="45">
        <v>0</v>
      </c>
      <c r="BZ32" s="45">
        <v>0</v>
      </c>
      <c r="CA32" s="45">
        <v>0</v>
      </c>
      <c r="CB32" s="45">
        <v>0</v>
      </c>
      <c r="CC32" s="45">
        <v>0</v>
      </c>
      <c r="CD32" s="45">
        <v>0</v>
      </c>
      <c r="CE32" s="45">
        <v>0</v>
      </c>
      <c r="CF32" s="45">
        <v>0</v>
      </c>
      <c r="CG32" s="45">
        <v>0</v>
      </c>
      <c r="CH32" s="45">
        <v>0</v>
      </c>
      <c r="CI32" s="45">
        <v>0</v>
      </c>
      <c r="CJ32" s="45">
        <v>0</v>
      </c>
      <c r="CK32" s="45">
        <v>0</v>
      </c>
      <c r="CL32" s="45">
        <v>0</v>
      </c>
      <c r="CM32" s="45">
        <v>0</v>
      </c>
      <c r="CN32" s="45">
        <v>0</v>
      </c>
      <c r="CO32" s="45">
        <v>0</v>
      </c>
      <c r="CP32" s="49">
        <v>0</v>
      </c>
      <c r="CQ32" s="48">
        <v>3400</v>
      </c>
      <c r="CR32" s="46">
        <v>0</v>
      </c>
      <c r="CS32" s="46">
        <v>0</v>
      </c>
      <c r="CT32" s="46">
        <v>0</v>
      </c>
      <c r="CU32" s="47">
        <v>3400</v>
      </c>
      <c r="CV32" s="44">
        <v>0</v>
      </c>
      <c r="CW32" s="45">
        <v>0</v>
      </c>
      <c r="CX32" s="45">
        <v>0</v>
      </c>
      <c r="CY32" s="45">
        <v>0</v>
      </c>
      <c r="CZ32" s="49">
        <v>0</v>
      </c>
      <c r="DA32" s="44">
        <v>0</v>
      </c>
      <c r="DB32" s="45">
        <v>0</v>
      </c>
      <c r="DC32" s="45">
        <v>0</v>
      </c>
      <c r="DD32" s="45">
        <v>0</v>
      </c>
      <c r="DE32" s="49">
        <v>0</v>
      </c>
      <c r="DF32" s="48">
        <v>3400</v>
      </c>
      <c r="DG32" s="46">
        <v>0</v>
      </c>
      <c r="DH32" s="46">
        <v>0</v>
      </c>
      <c r="DI32" s="45">
        <v>0</v>
      </c>
      <c r="DJ32" s="46">
        <v>3400</v>
      </c>
      <c r="DK32" s="45">
        <v>0</v>
      </c>
      <c r="DL32" s="45">
        <v>0</v>
      </c>
      <c r="DM32" s="45">
        <v>0</v>
      </c>
      <c r="DN32" s="45">
        <v>0</v>
      </c>
      <c r="DO32" s="45">
        <v>0</v>
      </c>
      <c r="DP32" s="45">
        <v>0</v>
      </c>
      <c r="DQ32" s="45">
        <v>0</v>
      </c>
      <c r="DR32" s="45">
        <v>0</v>
      </c>
      <c r="DS32" s="45">
        <v>0</v>
      </c>
      <c r="DT32" s="45">
        <v>0</v>
      </c>
      <c r="DU32" s="50" t="s">
        <v>178</v>
      </c>
    </row>
    <row r="33" spans="1:125" customFormat="1" ht="180" x14ac:dyDescent="0.2">
      <c r="A33" s="38" t="s">
        <v>228</v>
      </c>
      <c r="B33" s="38" t="s">
        <v>229</v>
      </c>
      <c r="C33" s="39" t="s">
        <v>230</v>
      </c>
      <c r="D33" s="40" t="s">
        <v>429</v>
      </c>
      <c r="E33" s="40" t="s">
        <v>419</v>
      </c>
      <c r="F33" s="40" t="s">
        <v>430</v>
      </c>
      <c r="G33" s="40" t="s">
        <v>0</v>
      </c>
      <c r="H33" s="40" t="s">
        <v>0</v>
      </c>
      <c r="I33" s="40" t="s">
        <v>0</v>
      </c>
      <c r="J33" s="13" t="s">
        <v>0</v>
      </c>
      <c r="K33" s="40" t="s">
        <v>0</v>
      </c>
      <c r="L33" s="40" t="s">
        <v>0</v>
      </c>
      <c r="M33" s="40" t="s">
        <v>0</v>
      </c>
      <c r="N33" s="40" t="s">
        <v>0</v>
      </c>
      <c r="O33" s="40" t="s">
        <v>0</v>
      </c>
      <c r="P33" s="40" t="s">
        <v>0</v>
      </c>
      <c r="Q33" s="13" t="s">
        <v>0</v>
      </c>
      <c r="R33" s="40" t="s">
        <v>0</v>
      </c>
      <c r="S33" s="40" t="s">
        <v>0</v>
      </c>
      <c r="T33" s="40" t="s">
        <v>0</v>
      </c>
      <c r="U33" s="40" t="s">
        <v>0</v>
      </c>
      <c r="V33" s="40" t="s">
        <v>0</v>
      </c>
      <c r="W33" s="40" t="s">
        <v>0</v>
      </c>
      <c r="X33" s="40" t="s">
        <v>431</v>
      </c>
      <c r="Y33" s="40" t="s">
        <v>397</v>
      </c>
      <c r="Z33" s="40" t="s">
        <v>432</v>
      </c>
      <c r="AA33" s="40" t="s">
        <v>0</v>
      </c>
      <c r="AB33" s="40" t="s">
        <v>0</v>
      </c>
      <c r="AC33" s="40" t="s">
        <v>0</v>
      </c>
      <c r="AD33" s="40" t="s">
        <v>489</v>
      </c>
      <c r="AE33" s="41"/>
      <c r="AF33" s="41"/>
      <c r="AG33" s="42" t="s">
        <v>47</v>
      </c>
      <c r="AH33" s="43" t="s">
        <v>224</v>
      </c>
      <c r="AI33" s="44">
        <f t="shared" si="115"/>
        <v>14234.55</v>
      </c>
      <c r="AJ33" s="45">
        <f t="shared" si="116"/>
        <v>14234.55</v>
      </c>
      <c r="AK33" s="45">
        <v>0</v>
      </c>
      <c r="AL33" s="52">
        <v>0</v>
      </c>
      <c r="AM33" s="45">
        <v>14234.55</v>
      </c>
      <c r="AN33" s="45">
        <v>14234.55</v>
      </c>
      <c r="AO33" s="45">
        <v>0</v>
      </c>
      <c r="AP33" s="45">
        <v>0</v>
      </c>
      <c r="AQ33" s="46">
        <v>0</v>
      </c>
      <c r="AR33" s="46">
        <v>0</v>
      </c>
      <c r="AS33" s="45">
        <f>SUM(AT33:AW33)</f>
        <v>2000</v>
      </c>
      <c r="AT33" s="45">
        <v>0</v>
      </c>
      <c r="AU33" s="45">
        <v>0</v>
      </c>
      <c r="AV33" s="45">
        <v>0</v>
      </c>
      <c r="AW33" s="45">
        <v>2000</v>
      </c>
      <c r="AX33" s="45">
        <v>0</v>
      </c>
      <c r="AY33" s="45">
        <v>0</v>
      </c>
      <c r="AZ33" s="45">
        <v>0</v>
      </c>
      <c r="BA33" s="45">
        <v>0</v>
      </c>
      <c r="BB33" s="45">
        <v>0</v>
      </c>
      <c r="BC33" s="45">
        <v>0</v>
      </c>
      <c r="BD33" s="45">
        <v>0</v>
      </c>
      <c r="BE33" s="45">
        <v>0</v>
      </c>
      <c r="BF33" s="45">
        <v>0</v>
      </c>
      <c r="BG33" s="45">
        <v>0</v>
      </c>
      <c r="BH33" s="45">
        <v>0</v>
      </c>
      <c r="BI33" s="45">
        <v>0</v>
      </c>
      <c r="BJ33" s="45">
        <v>0</v>
      </c>
      <c r="BK33" s="45">
        <v>0</v>
      </c>
      <c r="BL33" s="49">
        <v>0</v>
      </c>
      <c r="BM33" s="44">
        <f t="shared" si="117"/>
        <v>14234.55</v>
      </c>
      <c r="BN33" s="45">
        <f t="shared" si="118"/>
        <v>14234.55</v>
      </c>
      <c r="BO33" s="45">
        <v>0</v>
      </c>
      <c r="BP33" s="52">
        <v>0</v>
      </c>
      <c r="BQ33" s="45">
        <v>14234.55</v>
      </c>
      <c r="BR33" s="45">
        <v>14234.55</v>
      </c>
      <c r="BS33" s="45">
        <v>0</v>
      </c>
      <c r="BT33" s="45">
        <v>0</v>
      </c>
      <c r="BU33" s="46">
        <v>0</v>
      </c>
      <c r="BV33" s="47">
        <v>0</v>
      </c>
      <c r="BW33" s="45">
        <v>0</v>
      </c>
      <c r="BX33" s="45">
        <v>0</v>
      </c>
      <c r="BY33" s="45">
        <v>0</v>
      </c>
      <c r="BZ33" s="45">
        <v>0</v>
      </c>
      <c r="CA33" s="45">
        <v>0</v>
      </c>
      <c r="CB33" s="45">
        <v>0</v>
      </c>
      <c r="CC33" s="45">
        <v>0</v>
      </c>
      <c r="CD33" s="45">
        <v>0</v>
      </c>
      <c r="CE33" s="45">
        <v>0</v>
      </c>
      <c r="CF33" s="45">
        <v>0</v>
      </c>
      <c r="CG33" s="45">
        <v>0</v>
      </c>
      <c r="CH33" s="45">
        <v>0</v>
      </c>
      <c r="CI33" s="45">
        <v>0</v>
      </c>
      <c r="CJ33" s="45">
        <v>0</v>
      </c>
      <c r="CK33" s="45">
        <v>0</v>
      </c>
      <c r="CL33" s="45">
        <v>0</v>
      </c>
      <c r="CM33" s="45">
        <v>0</v>
      </c>
      <c r="CN33" s="45">
        <v>0</v>
      </c>
      <c r="CO33" s="45">
        <v>0</v>
      </c>
      <c r="CP33" s="49">
        <v>0</v>
      </c>
      <c r="CQ33" s="48">
        <v>14234.55</v>
      </c>
      <c r="CR33" s="46">
        <v>0</v>
      </c>
      <c r="CS33" s="46">
        <v>14234.55</v>
      </c>
      <c r="CT33" s="46">
        <v>0</v>
      </c>
      <c r="CU33" s="47">
        <v>0</v>
      </c>
      <c r="CV33" s="44">
        <v>0</v>
      </c>
      <c r="CW33" s="45">
        <v>0</v>
      </c>
      <c r="CX33" s="45">
        <v>0</v>
      </c>
      <c r="CY33" s="45">
        <v>0</v>
      </c>
      <c r="CZ33" s="49">
        <v>0</v>
      </c>
      <c r="DA33" s="44">
        <v>0</v>
      </c>
      <c r="DB33" s="45">
        <v>0</v>
      </c>
      <c r="DC33" s="45">
        <v>0</v>
      </c>
      <c r="DD33" s="45">
        <v>0</v>
      </c>
      <c r="DE33" s="49">
        <v>0</v>
      </c>
      <c r="DF33" s="48">
        <v>14234.55</v>
      </c>
      <c r="DG33" s="46">
        <v>0</v>
      </c>
      <c r="DH33" s="46">
        <v>14234.55</v>
      </c>
      <c r="DI33" s="45">
        <v>0</v>
      </c>
      <c r="DJ33" s="46">
        <v>0</v>
      </c>
      <c r="DK33" s="45">
        <v>0</v>
      </c>
      <c r="DL33" s="45">
        <v>0</v>
      </c>
      <c r="DM33" s="45">
        <v>0</v>
      </c>
      <c r="DN33" s="45">
        <v>0</v>
      </c>
      <c r="DO33" s="45">
        <v>0</v>
      </c>
      <c r="DP33" s="45">
        <v>0</v>
      </c>
      <c r="DQ33" s="45">
        <v>0</v>
      </c>
      <c r="DR33" s="45">
        <v>0</v>
      </c>
      <c r="DS33" s="45">
        <v>0</v>
      </c>
      <c r="DT33" s="45">
        <v>0</v>
      </c>
      <c r="DU33" s="50" t="s">
        <v>190</v>
      </c>
    </row>
    <row r="34" spans="1:125" customFormat="1" ht="168.75" x14ac:dyDescent="0.2">
      <c r="A34" s="38" t="s">
        <v>231</v>
      </c>
      <c r="B34" s="38" t="s">
        <v>232</v>
      </c>
      <c r="C34" s="39" t="s">
        <v>233</v>
      </c>
      <c r="D34" s="40" t="s">
        <v>433</v>
      </c>
      <c r="E34" s="40" t="s">
        <v>434</v>
      </c>
      <c r="F34" s="40" t="s">
        <v>426</v>
      </c>
      <c r="G34" s="40" t="s">
        <v>0</v>
      </c>
      <c r="H34" s="40" t="s">
        <v>0</v>
      </c>
      <c r="I34" s="40" t="s">
        <v>0</v>
      </c>
      <c r="J34" s="13" t="s">
        <v>0</v>
      </c>
      <c r="K34" s="40" t="s">
        <v>0</v>
      </c>
      <c r="L34" s="40" t="s">
        <v>0</v>
      </c>
      <c r="M34" s="40" t="s">
        <v>0</v>
      </c>
      <c r="N34" s="40" t="s">
        <v>0</v>
      </c>
      <c r="O34" s="40" t="s">
        <v>0</v>
      </c>
      <c r="P34" s="40" t="s">
        <v>0</v>
      </c>
      <c r="Q34" s="13" t="s">
        <v>0</v>
      </c>
      <c r="R34" s="40" t="s">
        <v>0</v>
      </c>
      <c r="S34" s="40" t="s">
        <v>0</v>
      </c>
      <c r="T34" s="40" t="s">
        <v>0</v>
      </c>
      <c r="U34" s="40" t="s">
        <v>0</v>
      </c>
      <c r="V34" s="40" t="s">
        <v>0</v>
      </c>
      <c r="W34" s="40" t="s">
        <v>0</v>
      </c>
      <c r="X34" s="40" t="s">
        <v>435</v>
      </c>
      <c r="Y34" s="40" t="s">
        <v>397</v>
      </c>
      <c r="Z34" s="40" t="s">
        <v>436</v>
      </c>
      <c r="AA34" s="40" t="s">
        <v>0</v>
      </c>
      <c r="AB34" s="40" t="s">
        <v>0</v>
      </c>
      <c r="AC34" s="40" t="s">
        <v>0</v>
      </c>
      <c r="AD34" s="40" t="s">
        <v>490</v>
      </c>
      <c r="AE34" s="41"/>
      <c r="AF34" s="41"/>
      <c r="AG34" s="42" t="s">
        <v>47</v>
      </c>
      <c r="AH34" s="43" t="s">
        <v>218</v>
      </c>
      <c r="AI34" s="44">
        <f t="shared" si="115"/>
        <v>15000</v>
      </c>
      <c r="AJ34" s="45">
        <f t="shared" si="116"/>
        <v>15000</v>
      </c>
      <c r="AK34" s="45">
        <v>0</v>
      </c>
      <c r="AL34" s="52">
        <v>0</v>
      </c>
      <c r="AM34" s="45">
        <v>0</v>
      </c>
      <c r="AN34" s="45">
        <v>0</v>
      </c>
      <c r="AO34" s="45">
        <v>0</v>
      </c>
      <c r="AP34" s="45">
        <v>0</v>
      </c>
      <c r="AQ34" s="46">
        <v>15000</v>
      </c>
      <c r="AR34" s="46">
        <v>15000</v>
      </c>
      <c r="AS34" s="45">
        <v>10000</v>
      </c>
      <c r="AT34" s="45">
        <v>0</v>
      </c>
      <c r="AU34" s="45">
        <v>0</v>
      </c>
      <c r="AV34" s="45">
        <v>0</v>
      </c>
      <c r="AW34" s="45">
        <v>10000</v>
      </c>
      <c r="AX34" s="45">
        <f>AY34+AZ34+BA34+BB34</f>
        <v>0</v>
      </c>
      <c r="AY34" s="45">
        <v>0</v>
      </c>
      <c r="AZ34" s="45">
        <v>0</v>
      </c>
      <c r="BA34" s="45">
        <v>0</v>
      </c>
      <c r="BB34" s="45"/>
      <c r="BC34" s="45">
        <v>0</v>
      </c>
      <c r="BD34" s="45">
        <v>0</v>
      </c>
      <c r="BE34" s="45">
        <v>0</v>
      </c>
      <c r="BF34" s="45">
        <v>0</v>
      </c>
      <c r="BG34" s="45">
        <v>0</v>
      </c>
      <c r="BH34" s="45">
        <v>0</v>
      </c>
      <c r="BI34" s="45">
        <v>0</v>
      </c>
      <c r="BJ34" s="45">
        <v>0</v>
      </c>
      <c r="BK34" s="45">
        <v>0</v>
      </c>
      <c r="BL34" s="49">
        <v>0</v>
      </c>
      <c r="BM34" s="44">
        <f t="shared" si="117"/>
        <v>15000</v>
      </c>
      <c r="BN34" s="45">
        <f t="shared" si="118"/>
        <v>15000</v>
      </c>
      <c r="BO34" s="45">
        <v>0</v>
      </c>
      <c r="BP34" s="52">
        <v>0</v>
      </c>
      <c r="BQ34" s="45">
        <v>0</v>
      </c>
      <c r="BR34" s="45">
        <v>0</v>
      </c>
      <c r="BS34" s="45">
        <v>0</v>
      </c>
      <c r="BT34" s="45">
        <v>0</v>
      </c>
      <c r="BU34" s="46">
        <v>15000</v>
      </c>
      <c r="BV34" s="47">
        <v>15000</v>
      </c>
      <c r="BW34" s="45">
        <v>0</v>
      </c>
      <c r="BX34" s="45">
        <v>0</v>
      </c>
      <c r="BY34" s="45">
        <v>0</v>
      </c>
      <c r="BZ34" s="45">
        <v>0</v>
      </c>
      <c r="CA34" s="45">
        <f>BW34</f>
        <v>0</v>
      </c>
      <c r="CB34" s="45">
        <v>0</v>
      </c>
      <c r="CC34" s="45">
        <v>0</v>
      </c>
      <c r="CD34" s="45">
        <v>0</v>
      </c>
      <c r="CE34" s="45">
        <v>0</v>
      </c>
      <c r="CF34" s="45">
        <v>0</v>
      </c>
      <c r="CG34" s="45">
        <v>0</v>
      </c>
      <c r="CH34" s="45">
        <v>0</v>
      </c>
      <c r="CI34" s="45">
        <v>0</v>
      </c>
      <c r="CJ34" s="45">
        <v>0</v>
      </c>
      <c r="CK34" s="45">
        <v>0</v>
      </c>
      <c r="CL34" s="45">
        <v>0</v>
      </c>
      <c r="CM34" s="45">
        <v>0</v>
      </c>
      <c r="CN34" s="45">
        <v>0</v>
      </c>
      <c r="CO34" s="45">
        <v>0</v>
      </c>
      <c r="CP34" s="49">
        <v>0</v>
      </c>
      <c r="CQ34" s="48">
        <v>15000</v>
      </c>
      <c r="CR34" s="46">
        <v>0</v>
      </c>
      <c r="CS34" s="46">
        <v>0</v>
      </c>
      <c r="CT34" s="46">
        <v>0</v>
      </c>
      <c r="CU34" s="47">
        <v>15000</v>
      </c>
      <c r="CV34" s="44">
        <v>0</v>
      </c>
      <c r="CW34" s="45">
        <v>0</v>
      </c>
      <c r="CX34" s="45">
        <v>0</v>
      </c>
      <c r="CY34" s="45">
        <v>0</v>
      </c>
      <c r="CZ34" s="49">
        <f>CV34</f>
        <v>0</v>
      </c>
      <c r="DA34" s="44">
        <v>0</v>
      </c>
      <c r="DB34" s="45">
        <v>0</v>
      </c>
      <c r="DC34" s="45">
        <v>0</v>
      </c>
      <c r="DD34" s="45">
        <v>0</v>
      </c>
      <c r="DE34" s="49">
        <v>0</v>
      </c>
      <c r="DF34" s="48">
        <v>15000</v>
      </c>
      <c r="DG34" s="46">
        <v>0</v>
      </c>
      <c r="DH34" s="46">
        <v>0</v>
      </c>
      <c r="DI34" s="45">
        <v>0</v>
      </c>
      <c r="DJ34" s="46">
        <v>15000</v>
      </c>
      <c r="DK34" s="45">
        <v>0</v>
      </c>
      <c r="DL34" s="45">
        <v>0</v>
      </c>
      <c r="DM34" s="45">
        <v>0</v>
      </c>
      <c r="DN34" s="45">
        <v>0</v>
      </c>
      <c r="DO34" s="45">
        <f>DK34</f>
        <v>0</v>
      </c>
      <c r="DP34" s="45">
        <v>0</v>
      </c>
      <c r="DQ34" s="45">
        <v>0</v>
      </c>
      <c r="DR34" s="45">
        <v>0</v>
      </c>
      <c r="DS34" s="45">
        <v>0</v>
      </c>
      <c r="DT34" s="45">
        <v>0</v>
      </c>
      <c r="DU34" s="50" t="s">
        <v>190</v>
      </c>
    </row>
    <row r="35" spans="1:125" customFormat="1" ht="348.75" x14ac:dyDescent="0.2">
      <c r="A35" s="38" t="s">
        <v>234</v>
      </c>
      <c r="B35" s="38" t="s">
        <v>235</v>
      </c>
      <c r="C35" s="39" t="s">
        <v>236</v>
      </c>
      <c r="D35" s="40" t="s">
        <v>427</v>
      </c>
      <c r="E35" s="40" t="s">
        <v>0</v>
      </c>
      <c r="F35" s="40" t="s">
        <v>0</v>
      </c>
      <c r="G35" s="40" t="s">
        <v>0</v>
      </c>
      <c r="H35" s="40" t="s">
        <v>0</v>
      </c>
      <c r="I35" s="40" t="s">
        <v>0</v>
      </c>
      <c r="J35" s="40" t="s">
        <v>0</v>
      </c>
      <c r="K35" s="40" t="s">
        <v>0</v>
      </c>
      <c r="L35" s="40" t="s">
        <v>0</v>
      </c>
      <c r="M35" s="40" t="s">
        <v>0</v>
      </c>
      <c r="N35" s="40" t="s">
        <v>0</v>
      </c>
      <c r="O35" s="40" t="s">
        <v>0</v>
      </c>
      <c r="P35" s="40" t="s">
        <v>0</v>
      </c>
      <c r="Q35" s="40" t="s">
        <v>0</v>
      </c>
      <c r="R35" s="40" t="s">
        <v>0</v>
      </c>
      <c r="S35" s="40" t="s">
        <v>0</v>
      </c>
      <c r="T35" s="40" t="s">
        <v>0</v>
      </c>
      <c r="U35" s="40" t="s">
        <v>0</v>
      </c>
      <c r="V35" s="40" t="s">
        <v>0</v>
      </c>
      <c r="W35" s="40" t="s">
        <v>0</v>
      </c>
      <c r="X35" s="40" t="s">
        <v>422</v>
      </c>
      <c r="Y35" s="40" t="s">
        <v>0</v>
      </c>
      <c r="Z35" s="40" t="s">
        <v>0</v>
      </c>
      <c r="AA35" s="40" t="s">
        <v>437</v>
      </c>
      <c r="AB35" s="40" t="s">
        <v>0</v>
      </c>
      <c r="AC35" s="40" t="s">
        <v>0</v>
      </c>
      <c r="AD35" s="40" t="s">
        <v>491</v>
      </c>
      <c r="AE35" s="41"/>
      <c r="AF35" s="41"/>
      <c r="AG35" s="42" t="s">
        <v>68</v>
      </c>
      <c r="AH35" s="43">
        <v>1003</v>
      </c>
      <c r="AI35" s="44">
        <f t="shared" si="115"/>
        <v>1900</v>
      </c>
      <c r="AJ35" s="45">
        <f t="shared" si="116"/>
        <v>1900</v>
      </c>
      <c r="AK35" s="45">
        <v>0</v>
      </c>
      <c r="AL35" s="52">
        <v>0</v>
      </c>
      <c r="AM35" s="52">
        <v>0</v>
      </c>
      <c r="AN35" s="52">
        <v>0</v>
      </c>
      <c r="AO35" s="45">
        <v>0</v>
      </c>
      <c r="AP35" s="45">
        <v>0</v>
      </c>
      <c r="AQ35" s="46">
        <v>1900</v>
      </c>
      <c r="AR35" s="46">
        <v>1900</v>
      </c>
      <c r="AS35" s="45">
        <f>AU35+AW35</f>
        <v>5655</v>
      </c>
      <c r="AT35" s="45">
        <v>0</v>
      </c>
      <c r="AU35" s="45">
        <v>2295</v>
      </c>
      <c r="AV35" s="45">
        <v>0</v>
      </c>
      <c r="AW35" s="45">
        <v>3360</v>
      </c>
      <c r="AX35" s="45">
        <f>SUM(AY35:BB35)</f>
        <v>1260</v>
      </c>
      <c r="AY35" s="45">
        <v>0</v>
      </c>
      <c r="AZ35" s="45">
        <v>0</v>
      </c>
      <c r="BA35" s="45">
        <v>0</v>
      </c>
      <c r="BB35" s="45">
        <v>1260</v>
      </c>
      <c r="BC35" s="45">
        <v>1260</v>
      </c>
      <c r="BD35" s="45">
        <v>0</v>
      </c>
      <c r="BE35" s="45">
        <v>0</v>
      </c>
      <c r="BF35" s="45">
        <v>0</v>
      </c>
      <c r="BG35" s="45">
        <f>BC35</f>
        <v>1260</v>
      </c>
      <c r="BH35" s="45">
        <v>1260</v>
      </c>
      <c r="BI35" s="45">
        <v>0</v>
      </c>
      <c r="BJ35" s="45">
        <v>0</v>
      </c>
      <c r="BK35" s="45">
        <v>0</v>
      </c>
      <c r="BL35" s="49">
        <f>BH35</f>
        <v>1260</v>
      </c>
      <c r="BM35" s="44">
        <f t="shared" si="117"/>
        <v>1900</v>
      </c>
      <c r="BN35" s="45">
        <f t="shared" si="118"/>
        <v>1900</v>
      </c>
      <c r="BO35" s="45">
        <v>0</v>
      </c>
      <c r="BP35" s="52">
        <v>0</v>
      </c>
      <c r="BQ35" s="52">
        <v>0</v>
      </c>
      <c r="BR35" s="52">
        <v>0</v>
      </c>
      <c r="BS35" s="45">
        <v>0</v>
      </c>
      <c r="BT35" s="45">
        <v>0</v>
      </c>
      <c r="BU35" s="46">
        <v>1900</v>
      </c>
      <c r="BV35" s="47">
        <v>1900</v>
      </c>
      <c r="BW35" s="45">
        <v>1500</v>
      </c>
      <c r="BX35" s="45">
        <v>0</v>
      </c>
      <c r="BY35" s="45">
        <v>0</v>
      </c>
      <c r="BZ35" s="45">
        <v>0</v>
      </c>
      <c r="CA35" s="45">
        <f>BW35</f>
        <v>1500</v>
      </c>
      <c r="CB35" s="45">
        <v>1500</v>
      </c>
      <c r="CC35" s="45">
        <v>0</v>
      </c>
      <c r="CD35" s="45">
        <v>0</v>
      </c>
      <c r="CE35" s="45">
        <v>0</v>
      </c>
      <c r="CF35" s="45">
        <f>CB35</f>
        <v>1500</v>
      </c>
      <c r="CG35" s="45">
        <v>1500</v>
      </c>
      <c r="CH35" s="45">
        <v>0</v>
      </c>
      <c r="CI35" s="45">
        <v>0</v>
      </c>
      <c r="CJ35" s="45">
        <v>0</v>
      </c>
      <c r="CK35" s="45">
        <f>CG35</f>
        <v>1500</v>
      </c>
      <c r="CL35" s="45">
        <v>1500</v>
      </c>
      <c r="CM35" s="45">
        <v>0</v>
      </c>
      <c r="CN35" s="45">
        <v>0</v>
      </c>
      <c r="CO35" s="45">
        <v>0</v>
      </c>
      <c r="CP35" s="49">
        <f>CL35</f>
        <v>1500</v>
      </c>
      <c r="CQ35" s="48">
        <v>1900</v>
      </c>
      <c r="CR35" s="46">
        <v>0</v>
      </c>
      <c r="CS35" s="69">
        <v>0</v>
      </c>
      <c r="CT35" s="46">
        <v>0</v>
      </c>
      <c r="CU35" s="47">
        <v>1900</v>
      </c>
      <c r="CV35" s="44">
        <v>1500</v>
      </c>
      <c r="CW35" s="45">
        <v>0</v>
      </c>
      <c r="CX35" s="45">
        <v>0</v>
      </c>
      <c r="CY35" s="45">
        <v>0</v>
      </c>
      <c r="CZ35" s="49">
        <f>CV35</f>
        <v>1500</v>
      </c>
      <c r="DA35" s="44">
        <v>1500</v>
      </c>
      <c r="DB35" s="45">
        <v>0</v>
      </c>
      <c r="DC35" s="45">
        <v>0</v>
      </c>
      <c r="DD35" s="45">
        <v>0</v>
      </c>
      <c r="DE35" s="49">
        <f>DA35</f>
        <v>1500</v>
      </c>
      <c r="DF35" s="48">
        <v>1900</v>
      </c>
      <c r="DG35" s="46">
        <v>0</v>
      </c>
      <c r="DH35" s="69">
        <v>0</v>
      </c>
      <c r="DI35" s="45">
        <v>0</v>
      </c>
      <c r="DJ35" s="46">
        <v>1900</v>
      </c>
      <c r="DK35" s="45">
        <v>1500</v>
      </c>
      <c r="DL35" s="45">
        <v>0</v>
      </c>
      <c r="DM35" s="45">
        <v>0</v>
      </c>
      <c r="DN35" s="45">
        <v>0</v>
      </c>
      <c r="DO35" s="45">
        <f>DK35</f>
        <v>1500</v>
      </c>
      <c r="DP35" s="45">
        <v>1500</v>
      </c>
      <c r="DQ35" s="45">
        <v>0</v>
      </c>
      <c r="DR35" s="45">
        <v>0</v>
      </c>
      <c r="DS35" s="45">
        <v>0</v>
      </c>
      <c r="DT35" s="45">
        <f>DP35</f>
        <v>1500</v>
      </c>
      <c r="DU35" s="50" t="s">
        <v>178</v>
      </c>
    </row>
    <row r="36" spans="1:125" customFormat="1" ht="112.5" x14ac:dyDescent="0.2">
      <c r="A36" s="38" t="s">
        <v>663</v>
      </c>
      <c r="B36" s="38" t="s">
        <v>664</v>
      </c>
      <c r="C36" s="39" t="s">
        <v>665</v>
      </c>
      <c r="D36" s="62" t="s">
        <v>427</v>
      </c>
      <c r="E36" s="41" t="s">
        <v>0</v>
      </c>
      <c r="F36" s="41" t="s">
        <v>0</v>
      </c>
      <c r="G36" s="41" t="s">
        <v>0</v>
      </c>
      <c r="H36" s="41" t="s">
        <v>0</v>
      </c>
      <c r="I36" s="41" t="s">
        <v>0</v>
      </c>
      <c r="J36" s="41" t="s">
        <v>0</v>
      </c>
      <c r="K36" s="41" t="s">
        <v>0</v>
      </c>
      <c r="L36" s="41" t="s">
        <v>0</v>
      </c>
      <c r="M36" s="41" t="s">
        <v>0</v>
      </c>
      <c r="N36" s="41" t="s">
        <v>0</v>
      </c>
      <c r="O36" s="41" t="s">
        <v>0</v>
      </c>
      <c r="P36" s="41" t="s">
        <v>0</v>
      </c>
      <c r="Q36" s="41" t="s">
        <v>0</v>
      </c>
      <c r="R36" s="41" t="s">
        <v>0</v>
      </c>
      <c r="S36" s="41" t="s">
        <v>0</v>
      </c>
      <c r="T36" s="41" t="s">
        <v>0</v>
      </c>
      <c r="U36" s="41" t="s">
        <v>0</v>
      </c>
      <c r="V36" s="41" t="s">
        <v>0</v>
      </c>
      <c r="W36" s="41" t="s">
        <v>0</v>
      </c>
      <c r="X36" s="41" t="s">
        <v>562</v>
      </c>
      <c r="Y36" s="41" t="s">
        <v>0</v>
      </c>
      <c r="Z36" s="41" t="s">
        <v>0</v>
      </c>
      <c r="AA36" s="41" t="s">
        <v>0</v>
      </c>
      <c r="AB36" s="41" t="s">
        <v>0</v>
      </c>
      <c r="AC36" s="41" t="s">
        <v>0</v>
      </c>
      <c r="AD36" s="70" t="s">
        <v>679</v>
      </c>
      <c r="AE36" s="41"/>
      <c r="AF36" s="41"/>
      <c r="AG36" s="42" t="s">
        <v>56</v>
      </c>
      <c r="AH36" s="43" t="s">
        <v>237</v>
      </c>
      <c r="AI36" s="44">
        <f t="shared" si="115"/>
        <v>1000</v>
      </c>
      <c r="AJ36" s="45">
        <f t="shared" si="116"/>
        <v>0</v>
      </c>
      <c r="AK36" s="45"/>
      <c r="AL36" s="52"/>
      <c r="AM36" s="52"/>
      <c r="AN36" s="52"/>
      <c r="AO36" s="45"/>
      <c r="AP36" s="45"/>
      <c r="AQ36" s="45">
        <v>1000</v>
      </c>
      <c r="AR36" s="45">
        <v>0</v>
      </c>
      <c r="AS36" s="45">
        <f>SUBTOTAL(9,AT36:AW36)</f>
        <v>68025.55</v>
      </c>
      <c r="AT36" s="45"/>
      <c r="AU36" s="45">
        <v>59064.4</v>
      </c>
      <c r="AV36" s="45"/>
      <c r="AW36" s="45">
        <v>8961.15</v>
      </c>
      <c r="AX36" s="45">
        <f>SUM(AY36:BB36)</f>
        <v>31673.5</v>
      </c>
      <c r="AY36" s="45"/>
      <c r="AZ36" s="45"/>
      <c r="BA36" s="45"/>
      <c r="BB36" s="45">
        <v>31673.5</v>
      </c>
      <c r="BC36" s="45"/>
      <c r="BD36" s="45"/>
      <c r="BE36" s="45"/>
      <c r="BF36" s="45"/>
      <c r="BG36" s="45"/>
      <c r="BH36" s="45"/>
      <c r="BI36" s="45"/>
      <c r="BJ36" s="45"/>
      <c r="BK36" s="45"/>
      <c r="BL36" s="49"/>
      <c r="BM36" s="44">
        <f t="shared" si="117"/>
        <v>0</v>
      </c>
      <c r="BN36" s="45">
        <f t="shared" si="118"/>
        <v>0</v>
      </c>
      <c r="BO36" s="45"/>
      <c r="BP36" s="52"/>
      <c r="BQ36" s="52"/>
      <c r="BR36" s="52"/>
      <c r="BS36" s="45"/>
      <c r="BT36" s="45"/>
      <c r="BU36" s="45">
        <f>1000-1000</f>
        <v>0</v>
      </c>
      <c r="BV36" s="49">
        <v>0</v>
      </c>
      <c r="BW36" s="45">
        <f>SUBTOTAL(9,BX36:CA36)</f>
        <v>0</v>
      </c>
      <c r="BX36" s="45"/>
      <c r="BY36" s="45">
        <f>59064.4-59064.4</f>
        <v>0</v>
      </c>
      <c r="BZ36" s="45"/>
      <c r="CA36" s="45">
        <f>8961.15-8961.15</f>
        <v>0</v>
      </c>
      <c r="CB36" s="45"/>
      <c r="CC36" s="45"/>
      <c r="CD36" s="45"/>
      <c r="CE36" s="45"/>
      <c r="CF36" s="45"/>
      <c r="CG36" s="45"/>
      <c r="CH36" s="45"/>
      <c r="CI36" s="45"/>
      <c r="CJ36" s="45"/>
      <c r="CK36" s="45"/>
      <c r="CL36" s="45"/>
      <c r="CM36" s="45"/>
      <c r="CN36" s="45"/>
      <c r="CO36" s="45"/>
      <c r="CP36" s="49"/>
      <c r="CQ36" s="48">
        <v>1000</v>
      </c>
      <c r="CR36" s="46"/>
      <c r="CS36" s="69"/>
      <c r="CT36" s="46"/>
      <c r="CU36" s="47">
        <v>1000</v>
      </c>
      <c r="CV36" s="44">
        <f>SUBTOTAL(9,CW36:CZ36)</f>
        <v>68025.55</v>
      </c>
      <c r="CW36" s="45"/>
      <c r="CX36" s="45">
        <v>59064.4</v>
      </c>
      <c r="CY36" s="45"/>
      <c r="CZ36" s="49">
        <v>8961.15</v>
      </c>
      <c r="DA36" s="44"/>
      <c r="DB36" s="45"/>
      <c r="DC36" s="45"/>
      <c r="DD36" s="45"/>
      <c r="DE36" s="49"/>
      <c r="DF36" s="48">
        <v>0</v>
      </c>
      <c r="DG36" s="46"/>
      <c r="DH36" s="69"/>
      <c r="DI36" s="45"/>
      <c r="DJ36" s="46">
        <v>0</v>
      </c>
      <c r="DK36" s="45">
        <f>SUBTOTAL(9,DL36:DO36)</f>
        <v>0</v>
      </c>
      <c r="DL36" s="45"/>
      <c r="DM36" s="45">
        <f>59064.4-59064.4</f>
        <v>0</v>
      </c>
      <c r="DN36" s="45"/>
      <c r="DO36" s="45">
        <f>8961.15-8961.15</f>
        <v>0</v>
      </c>
      <c r="DP36" s="45"/>
      <c r="DQ36" s="45"/>
      <c r="DR36" s="45"/>
      <c r="DS36" s="45"/>
      <c r="DT36" s="45"/>
      <c r="DU36" s="50"/>
    </row>
    <row r="37" spans="1:125" customFormat="1" ht="101.25" x14ac:dyDescent="0.2">
      <c r="A37" s="38" t="s">
        <v>238</v>
      </c>
      <c r="B37" s="38" t="s">
        <v>239</v>
      </c>
      <c r="C37" s="39" t="s">
        <v>240</v>
      </c>
      <c r="D37" s="40" t="s">
        <v>438</v>
      </c>
      <c r="E37" s="40" t="s">
        <v>397</v>
      </c>
      <c r="F37" s="40" t="s">
        <v>426</v>
      </c>
      <c r="G37" s="40" t="s">
        <v>0</v>
      </c>
      <c r="H37" s="40" t="s">
        <v>0</v>
      </c>
      <c r="I37" s="40" t="s">
        <v>0</v>
      </c>
      <c r="J37" s="13" t="s">
        <v>0</v>
      </c>
      <c r="K37" s="40" t="s">
        <v>0</v>
      </c>
      <c r="L37" s="40" t="s">
        <v>0</v>
      </c>
      <c r="M37" s="40" t="s">
        <v>0</v>
      </c>
      <c r="N37" s="40" t="s">
        <v>0</v>
      </c>
      <c r="O37" s="40" t="s">
        <v>0</v>
      </c>
      <c r="P37" s="40" t="s">
        <v>0</v>
      </c>
      <c r="Q37" s="13" t="s">
        <v>0</v>
      </c>
      <c r="R37" s="40" t="s">
        <v>0</v>
      </c>
      <c r="S37" s="40" t="s">
        <v>0</v>
      </c>
      <c r="T37" s="40" t="s">
        <v>0</v>
      </c>
      <c r="U37" s="40" t="s">
        <v>0</v>
      </c>
      <c r="V37" s="40" t="s">
        <v>0</v>
      </c>
      <c r="W37" s="40" t="s">
        <v>0</v>
      </c>
      <c r="X37" s="40" t="s">
        <v>439</v>
      </c>
      <c r="Y37" s="40" t="s">
        <v>0</v>
      </c>
      <c r="Z37" s="40" t="s">
        <v>0</v>
      </c>
      <c r="AA37" s="40" t="s">
        <v>0</v>
      </c>
      <c r="AB37" s="40" t="s">
        <v>0</v>
      </c>
      <c r="AC37" s="40" t="s">
        <v>0</v>
      </c>
      <c r="AD37" s="40" t="s">
        <v>492</v>
      </c>
      <c r="AE37" s="41"/>
      <c r="AF37" s="41"/>
      <c r="AG37" s="42" t="s">
        <v>56</v>
      </c>
      <c r="AH37" s="43" t="s">
        <v>237</v>
      </c>
      <c r="AI37" s="44">
        <f t="shared" si="115"/>
        <v>6974.16</v>
      </c>
      <c r="AJ37" s="45">
        <f t="shared" si="116"/>
        <v>6957.95</v>
      </c>
      <c r="AK37" s="45">
        <v>0</v>
      </c>
      <c r="AL37" s="52">
        <v>0</v>
      </c>
      <c r="AM37" s="45">
        <v>0</v>
      </c>
      <c r="AN37" s="45">
        <v>0</v>
      </c>
      <c r="AO37" s="45">
        <v>2175.8000000000002</v>
      </c>
      <c r="AP37" s="45">
        <v>2175.8000000000002</v>
      </c>
      <c r="AQ37" s="46">
        <v>4798.3599999999997</v>
      </c>
      <c r="AR37" s="46">
        <v>4782.1499999999996</v>
      </c>
      <c r="AS37" s="45">
        <f>SUM(AT37:AW37)</f>
        <v>26141.1</v>
      </c>
      <c r="AT37" s="45">
        <v>0</v>
      </c>
      <c r="AU37" s="45">
        <v>0</v>
      </c>
      <c r="AV37" s="45">
        <v>2175.8000000000002</v>
      </c>
      <c r="AW37" s="45">
        <f>21811.3+7865.3-5711.3</f>
        <v>23965.3</v>
      </c>
      <c r="AX37" s="45">
        <f>SUM(AY37:BB37)</f>
        <v>34701.65</v>
      </c>
      <c r="AY37" s="45">
        <v>0</v>
      </c>
      <c r="AZ37" s="45">
        <v>0</v>
      </c>
      <c r="BA37" s="45">
        <f>9000+1714.6</f>
        <v>10714.6</v>
      </c>
      <c r="BB37" s="45">
        <f>34701.65-9000-1714.6</f>
        <v>23987.050000000003</v>
      </c>
      <c r="BC37" s="45">
        <v>10420.299999999999</v>
      </c>
      <c r="BD37" s="45">
        <v>0</v>
      </c>
      <c r="BE37" s="45">
        <v>0</v>
      </c>
      <c r="BF37" s="45">
        <v>0</v>
      </c>
      <c r="BG37" s="45">
        <f>BC37-BF37</f>
        <v>10420.299999999999</v>
      </c>
      <c r="BH37" s="45">
        <v>10420.299999999999</v>
      </c>
      <c r="BI37" s="45">
        <v>0</v>
      </c>
      <c r="BJ37" s="45">
        <v>0</v>
      </c>
      <c r="BK37" s="45">
        <v>0</v>
      </c>
      <c r="BL37" s="49">
        <f>BH37-BK37</f>
        <v>10420.299999999999</v>
      </c>
      <c r="BM37" s="44">
        <f t="shared" si="117"/>
        <v>6974.16</v>
      </c>
      <c r="BN37" s="45">
        <f t="shared" si="118"/>
        <v>6957.95</v>
      </c>
      <c r="BO37" s="45">
        <v>0</v>
      </c>
      <c r="BP37" s="52">
        <v>0</v>
      </c>
      <c r="BQ37" s="45">
        <v>0</v>
      </c>
      <c r="BR37" s="45">
        <v>0</v>
      </c>
      <c r="BS37" s="45">
        <v>2175.8000000000002</v>
      </c>
      <c r="BT37" s="45">
        <v>2175.8000000000002</v>
      </c>
      <c r="BU37" s="46">
        <v>4798.3599999999997</v>
      </c>
      <c r="BV37" s="47">
        <v>4782.1499999999996</v>
      </c>
      <c r="BW37" s="45">
        <v>18275.75</v>
      </c>
      <c r="BX37" s="45">
        <v>0</v>
      </c>
      <c r="BY37" s="45">
        <v>0</v>
      </c>
      <c r="BZ37" s="45">
        <v>2175.8000000000002</v>
      </c>
      <c r="CA37" s="45">
        <f>BW37-BZ37</f>
        <v>16099.95</v>
      </c>
      <c r="CB37" s="45">
        <v>5020.8</v>
      </c>
      <c r="CC37" s="45">
        <v>0</v>
      </c>
      <c r="CD37" s="45">
        <v>0</v>
      </c>
      <c r="CE37" s="45">
        <v>0</v>
      </c>
      <c r="CF37" s="45">
        <f>CB37-CE37</f>
        <v>5020.8</v>
      </c>
      <c r="CG37" s="45">
        <v>5020.8</v>
      </c>
      <c r="CH37" s="45">
        <v>0</v>
      </c>
      <c r="CI37" s="45">
        <v>0</v>
      </c>
      <c r="CJ37" s="45">
        <v>0</v>
      </c>
      <c r="CK37" s="45">
        <f>CG37-CJ37</f>
        <v>5020.8</v>
      </c>
      <c r="CL37" s="45">
        <v>5020.8</v>
      </c>
      <c r="CM37" s="45">
        <v>0</v>
      </c>
      <c r="CN37" s="45">
        <v>0</v>
      </c>
      <c r="CO37" s="45">
        <v>0</v>
      </c>
      <c r="CP37" s="49">
        <f>CL37-CO37</f>
        <v>5020.8</v>
      </c>
      <c r="CQ37" s="48">
        <v>6974.16</v>
      </c>
      <c r="CR37" s="46">
        <v>0</v>
      </c>
      <c r="CS37" s="46">
        <v>0</v>
      </c>
      <c r="CT37" s="46">
        <v>2175.8000000000002</v>
      </c>
      <c r="CU37" s="47">
        <v>4798.3599999999997</v>
      </c>
      <c r="CV37" s="44">
        <v>18275.75</v>
      </c>
      <c r="CW37" s="45">
        <v>0</v>
      </c>
      <c r="CX37" s="45">
        <v>0</v>
      </c>
      <c r="CY37" s="45">
        <v>2175.8000000000002</v>
      </c>
      <c r="CZ37" s="49">
        <f>CV37-CY37</f>
        <v>16099.95</v>
      </c>
      <c r="DA37" s="44">
        <v>5020.8</v>
      </c>
      <c r="DB37" s="45">
        <v>0</v>
      </c>
      <c r="DC37" s="45">
        <v>0</v>
      </c>
      <c r="DD37" s="45">
        <v>0</v>
      </c>
      <c r="DE37" s="49">
        <f>DA37-DD37</f>
        <v>5020.8</v>
      </c>
      <c r="DF37" s="48">
        <v>6974.16</v>
      </c>
      <c r="DG37" s="46">
        <v>0</v>
      </c>
      <c r="DH37" s="46">
        <v>0</v>
      </c>
      <c r="DI37" s="45">
        <v>2175.8000000000002</v>
      </c>
      <c r="DJ37" s="46">
        <v>4798.3599999999997</v>
      </c>
      <c r="DK37" s="45">
        <v>18275.75</v>
      </c>
      <c r="DL37" s="45">
        <v>0</v>
      </c>
      <c r="DM37" s="45">
        <v>0</v>
      </c>
      <c r="DN37" s="45">
        <v>2175.8000000000002</v>
      </c>
      <c r="DO37" s="45">
        <f>DK37-DN37</f>
        <v>16099.95</v>
      </c>
      <c r="DP37" s="45">
        <v>5020.8</v>
      </c>
      <c r="DQ37" s="45">
        <v>0</v>
      </c>
      <c r="DR37" s="45">
        <v>0</v>
      </c>
      <c r="DS37" s="45">
        <v>0</v>
      </c>
      <c r="DT37" s="45">
        <f>DP37-DS37</f>
        <v>5020.8</v>
      </c>
      <c r="DU37" s="50" t="s">
        <v>190</v>
      </c>
    </row>
    <row r="38" spans="1:125" customFormat="1" ht="225" x14ac:dyDescent="0.2">
      <c r="A38" s="38" t="s">
        <v>241</v>
      </c>
      <c r="B38" s="38" t="s">
        <v>242</v>
      </c>
      <c r="C38" s="39" t="s">
        <v>243</v>
      </c>
      <c r="D38" s="40" t="s">
        <v>440</v>
      </c>
      <c r="E38" s="40" t="s">
        <v>419</v>
      </c>
      <c r="F38" s="40" t="s">
        <v>441</v>
      </c>
      <c r="G38" s="40" t="s">
        <v>0</v>
      </c>
      <c r="H38" s="40" t="s">
        <v>0</v>
      </c>
      <c r="I38" s="40" t="s">
        <v>0</v>
      </c>
      <c r="J38" s="13" t="s">
        <v>0</v>
      </c>
      <c r="K38" s="40" t="s">
        <v>0</v>
      </c>
      <c r="L38" s="40" t="s">
        <v>0</v>
      </c>
      <c r="M38" s="40" t="s">
        <v>0</v>
      </c>
      <c r="N38" s="40"/>
      <c r="O38" s="40"/>
      <c r="P38" s="40"/>
      <c r="Q38" s="13"/>
      <c r="R38" s="40" t="s">
        <v>0</v>
      </c>
      <c r="S38" s="40" t="s">
        <v>0</v>
      </c>
      <c r="T38" s="40" t="s">
        <v>0</v>
      </c>
      <c r="U38" s="40" t="s">
        <v>0</v>
      </c>
      <c r="V38" s="40" t="s">
        <v>0</v>
      </c>
      <c r="W38" s="40" t="s">
        <v>0</v>
      </c>
      <c r="X38" s="40" t="s">
        <v>442</v>
      </c>
      <c r="Y38" s="40" t="s">
        <v>397</v>
      </c>
      <c r="Z38" s="40" t="s">
        <v>443</v>
      </c>
      <c r="AA38" s="40" t="s">
        <v>0</v>
      </c>
      <c r="AB38" s="40" t="s">
        <v>0</v>
      </c>
      <c r="AC38" s="40" t="s">
        <v>0</v>
      </c>
      <c r="AD38" s="40" t="s">
        <v>493</v>
      </c>
      <c r="AE38" s="41"/>
      <c r="AF38" s="41"/>
      <c r="AG38" s="42" t="s">
        <v>51</v>
      </c>
      <c r="AH38" s="43" t="s">
        <v>244</v>
      </c>
      <c r="AI38" s="44">
        <f t="shared" si="115"/>
        <v>4238.74</v>
      </c>
      <c r="AJ38" s="45">
        <f t="shared" si="116"/>
        <v>4192.37</v>
      </c>
      <c r="AK38" s="45">
        <v>0</v>
      </c>
      <c r="AL38" s="52">
        <v>0</v>
      </c>
      <c r="AM38" s="45"/>
      <c r="AN38" s="45"/>
      <c r="AO38" s="45"/>
      <c r="AP38" s="45"/>
      <c r="AQ38" s="46">
        <f>1259.99+495.31+1275.07+1208.37</f>
        <v>4238.74</v>
      </c>
      <c r="AR38" s="46">
        <f>1215.07+495.31+1273.62+1208.37</f>
        <v>4192.37</v>
      </c>
      <c r="AS38" s="45">
        <f>SUBTOTAL(9,AT38:AW38)</f>
        <v>7068.5</v>
      </c>
      <c r="AT38" s="45">
        <v>0</v>
      </c>
      <c r="AU38" s="45">
        <v>0</v>
      </c>
      <c r="AV38" s="45">
        <f>1500+1500</f>
        <v>3000</v>
      </c>
      <c r="AW38" s="46">
        <v>4068.5</v>
      </c>
      <c r="AX38" s="45">
        <f>SUM(AY38:BB38)</f>
        <v>12286.6</v>
      </c>
      <c r="AY38" s="45">
        <v>0</v>
      </c>
      <c r="AZ38" s="45">
        <v>0</v>
      </c>
      <c r="BA38" s="45">
        <f>3000+2500</f>
        <v>5500</v>
      </c>
      <c r="BB38" s="45">
        <f>12286.6-3000-2500</f>
        <v>6786.6</v>
      </c>
      <c r="BC38" s="45">
        <f>BG38</f>
        <v>4286.6000000000004</v>
      </c>
      <c r="BD38" s="45">
        <v>0</v>
      </c>
      <c r="BE38" s="45">
        <v>0</v>
      </c>
      <c r="BF38" s="45">
        <v>0</v>
      </c>
      <c r="BG38" s="45">
        <v>4286.6000000000004</v>
      </c>
      <c r="BH38" s="45">
        <f>BL38</f>
        <v>4286.6000000000004</v>
      </c>
      <c r="BI38" s="45">
        <v>0</v>
      </c>
      <c r="BJ38" s="45">
        <v>0</v>
      </c>
      <c r="BK38" s="45">
        <v>0</v>
      </c>
      <c r="BL38" s="45">
        <v>4286.6000000000004</v>
      </c>
      <c r="BM38" s="44">
        <f t="shared" si="117"/>
        <v>3882.5899999999997</v>
      </c>
      <c r="BN38" s="45">
        <f t="shared" si="118"/>
        <v>3836.22</v>
      </c>
      <c r="BO38" s="45">
        <v>0</v>
      </c>
      <c r="BP38" s="52">
        <v>0</v>
      </c>
      <c r="BQ38" s="45"/>
      <c r="BR38" s="45"/>
      <c r="BS38" s="45"/>
      <c r="BT38" s="45"/>
      <c r="BU38" s="46">
        <f>1259.99+495.31+1275.07+1208.37-15.8-224.15-116.2</f>
        <v>3882.5899999999997</v>
      </c>
      <c r="BV38" s="47">
        <f>1215.07+495.31+1273.62+1208.37-15.8-224.15-116.2</f>
        <v>3836.22</v>
      </c>
      <c r="BW38" s="45">
        <f>SUBTOTAL(9,BX38:CA38)</f>
        <v>7637.9400000000005</v>
      </c>
      <c r="BX38" s="45">
        <v>0</v>
      </c>
      <c r="BY38" s="45">
        <v>0</v>
      </c>
      <c r="BZ38" s="45">
        <f>1500+1500</f>
        <v>3000</v>
      </c>
      <c r="CA38" s="46">
        <f>2690.47+917.7+1098.18-68.41</f>
        <v>4637.9400000000005</v>
      </c>
      <c r="CB38" s="45">
        <f>CF38</f>
        <v>5987.9400000000005</v>
      </c>
      <c r="CC38" s="45">
        <v>0</v>
      </c>
      <c r="CD38" s="45">
        <v>0</v>
      </c>
      <c r="CE38" s="45">
        <v>0</v>
      </c>
      <c r="CF38" s="45">
        <f>4040.47+917.7+1098.18-68.41</f>
        <v>5987.9400000000005</v>
      </c>
      <c r="CG38" s="45">
        <f>CK38</f>
        <v>6056.35</v>
      </c>
      <c r="CH38" s="45">
        <v>0</v>
      </c>
      <c r="CI38" s="45">
        <v>0</v>
      </c>
      <c r="CJ38" s="45">
        <v>0</v>
      </c>
      <c r="CK38" s="45">
        <f>4040.47+917.7+1098.18</f>
        <v>6056.35</v>
      </c>
      <c r="CL38" s="45">
        <f>CP38</f>
        <v>6056.35</v>
      </c>
      <c r="CM38" s="45">
        <v>0</v>
      </c>
      <c r="CN38" s="45">
        <v>0</v>
      </c>
      <c r="CO38" s="45">
        <v>0</v>
      </c>
      <c r="CP38" s="45">
        <f>4040.47+917.7+1098.18</f>
        <v>6056.35</v>
      </c>
      <c r="CQ38" s="48">
        <v>4238.74</v>
      </c>
      <c r="CR38" s="46">
        <v>0</v>
      </c>
      <c r="CS38" s="46"/>
      <c r="CT38" s="46"/>
      <c r="CU38" s="47">
        <v>4238.74</v>
      </c>
      <c r="CV38" s="44">
        <f>SUBTOTAL(9,CW38:CZ38)</f>
        <v>7706.35</v>
      </c>
      <c r="CW38" s="45">
        <v>0</v>
      </c>
      <c r="CX38" s="45">
        <v>0</v>
      </c>
      <c r="CY38" s="45">
        <f>1500+1500</f>
        <v>3000</v>
      </c>
      <c r="CZ38" s="47">
        <f>2690.47+917.7+1098.18</f>
        <v>4706.3500000000004</v>
      </c>
      <c r="DA38" s="44">
        <f>DE38</f>
        <v>6056.35</v>
      </c>
      <c r="DB38" s="45">
        <v>0</v>
      </c>
      <c r="DC38" s="45">
        <v>0</v>
      </c>
      <c r="DD38" s="45">
        <v>0</v>
      </c>
      <c r="DE38" s="49">
        <f>4040.47+917.7+1098.18</f>
        <v>6056.35</v>
      </c>
      <c r="DF38" s="48">
        <v>3882.5899999999997</v>
      </c>
      <c r="DG38" s="46">
        <v>0</v>
      </c>
      <c r="DH38" s="46"/>
      <c r="DI38" s="45"/>
      <c r="DJ38" s="46">
        <v>3882.5899999999997</v>
      </c>
      <c r="DK38" s="45">
        <f>SUBTOTAL(9,DL38:DO38)</f>
        <v>7637.9400000000005</v>
      </c>
      <c r="DL38" s="45">
        <v>0</v>
      </c>
      <c r="DM38" s="45">
        <v>0</v>
      </c>
      <c r="DN38" s="45">
        <f>1500+1500</f>
        <v>3000</v>
      </c>
      <c r="DO38" s="46">
        <f>2690.47+917.7+1098.18-68.41</f>
        <v>4637.9400000000005</v>
      </c>
      <c r="DP38" s="45">
        <f>DT38</f>
        <v>5987.9400000000005</v>
      </c>
      <c r="DQ38" s="45">
        <v>0</v>
      </c>
      <c r="DR38" s="45">
        <v>0</v>
      </c>
      <c r="DS38" s="45">
        <v>0</v>
      </c>
      <c r="DT38" s="45">
        <f>4040.47+917.7+1098.18-68.41</f>
        <v>5987.9400000000005</v>
      </c>
      <c r="DU38" s="50" t="s">
        <v>190</v>
      </c>
    </row>
    <row r="39" spans="1:125" customFormat="1" ht="135" x14ac:dyDescent="0.2">
      <c r="A39" s="38" t="s">
        <v>637</v>
      </c>
      <c r="B39" s="38" t="s">
        <v>638</v>
      </c>
      <c r="C39" s="39" t="s">
        <v>639</v>
      </c>
      <c r="D39" s="40" t="s">
        <v>427</v>
      </c>
      <c r="E39" s="40"/>
      <c r="F39" s="40"/>
      <c r="G39" s="40" t="s">
        <v>0</v>
      </c>
      <c r="H39" s="40" t="s">
        <v>0</v>
      </c>
      <c r="I39" s="40" t="s">
        <v>0</v>
      </c>
      <c r="J39" s="13" t="s">
        <v>0</v>
      </c>
      <c r="K39" s="40" t="s">
        <v>640</v>
      </c>
      <c r="L39" s="40" t="s">
        <v>0</v>
      </c>
      <c r="M39" s="40" t="s">
        <v>0</v>
      </c>
      <c r="N39" s="40" t="s">
        <v>640</v>
      </c>
      <c r="O39" s="40" t="s">
        <v>0</v>
      </c>
      <c r="P39" s="40" t="s">
        <v>0</v>
      </c>
      <c r="Q39" s="13" t="s">
        <v>0</v>
      </c>
      <c r="R39" s="40" t="s">
        <v>0</v>
      </c>
      <c r="S39" s="40" t="s">
        <v>0</v>
      </c>
      <c r="T39" s="40" t="s">
        <v>0</v>
      </c>
      <c r="U39" s="40" t="s">
        <v>0</v>
      </c>
      <c r="V39" s="40" t="s">
        <v>0</v>
      </c>
      <c r="W39" s="40" t="s">
        <v>0</v>
      </c>
      <c r="X39" s="40" t="s">
        <v>641</v>
      </c>
      <c r="Y39" s="40" t="s">
        <v>0</v>
      </c>
      <c r="Z39" s="40" t="s">
        <v>0</v>
      </c>
      <c r="AA39" s="40" t="s">
        <v>642</v>
      </c>
      <c r="AB39" s="40" t="s">
        <v>0</v>
      </c>
      <c r="AC39" s="40" t="s">
        <v>0</v>
      </c>
      <c r="AD39" s="40" t="s">
        <v>680</v>
      </c>
      <c r="AE39" s="41"/>
      <c r="AF39" s="41"/>
      <c r="AG39" s="42" t="s">
        <v>65</v>
      </c>
      <c r="AH39" s="57" t="s">
        <v>643</v>
      </c>
      <c r="AI39" s="44">
        <f t="shared" si="115"/>
        <v>3320.7999999999997</v>
      </c>
      <c r="AJ39" s="45">
        <f t="shared" si="116"/>
        <v>2451.25</v>
      </c>
      <c r="AK39" s="45">
        <v>714.05</v>
      </c>
      <c r="AL39" s="45">
        <v>714.05</v>
      </c>
      <c r="AM39" s="45">
        <v>119.92</v>
      </c>
      <c r="AN39" s="45">
        <v>119.92</v>
      </c>
      <c r="AO39" s="45"/>
      <c r="AP39" s="45"/>
      <c r="AQ39" s="46">
        <f>296.03+2190.8</f>
        <v>2486.83</v>
      </c>
      <c r="AR39" s="46">
        <f>296.03+1321.25</f>
        <v>1617.28</v>
      </c>
      <c r="AS39" s="45">
        <f>AW39</f>
        <v>1014</v>
      </c>
      <c r="AT39" s="45"/>
      <c r="AU39" s="45"/>
      <c r="AV39" s="45"/>
      <c r="AW39" s="45">
        <f>1014</f>
        <v>1014</v>
      </c>
      <c r="AX39" s="45">
        <f>BB39</f>
        <v>672</v>
      </c>
      <c r="AY39" s="45"/>
      <c r="AZ39" s="45"/>
      <c r="BA39" s="45"/>
      <c r="BB39" s="45">
        <v>672</v>
      </c>
      <c r="BC39" s="45">
        <f>BG39</f>
        <v>0</v>
      </c>
      <c r="BD39" s="45"/>
      <c r="BE39" s="45"/>
      <c r="BF39" s="45"/>
      <c r="BG39" s="45">
        <v>0</v>
      </c>
      <c r="BH39" s="45">
        <f>BL39</f>
        <v>0</v>
      </c>
      <c r="BI39" s="45"/>
      <c r="BJ39" s="45"/>
      <c r="BK39" s="45"/>
      <c r="BL39" s="45">
        <v>0</v>
      </c>
      <c r="BM39" s="44">
        <f t="shared" si="117"/>
        <v>3320.7999999999997</v>
      </c>
      <c r="BN39" s="45">
        <f t="shared" si="118"/>
        <v>2451.25</v>
      </c>
      <c r="BO39" s="45">
        <v>714.05</v>
      </c>
      <c r="BP39" s="45">
        <v>714.05</v>
      </c>
      <c r="BQ39" s="45">
        <v>119.92</v>
      </c>
      <c r="BR39" s="45">
        <v>119.92</v>
      </c>
      <c r="BS39" s="45"/>
      <c r="BT39" s="45"/>
      <c r="BU39" s="46">
        <f>296.03+2190.8</f>
        <v>2486.83</v>
      </c>
      <c r="BV39" s="47">
        <f>296.03+1321.25</f>
        <v>1617.28</v>
      </c>
      <c r="BW39" s="45">
        <f>CA39</f>
        <v>1014</v>
      </c>
      <c r="BX39" s="45"/>
      <c r="BY39" s="45"/>
      <c r="BZ39" s="45"/>
      <c r="CA39" s="45">
        <f>1014</f>
        <v>1014</v>
      </c>
      <c r="CB39" s="45">
        <f>CF39</f>
        <v>1014</v>
      </c>
      <c r="CC39" s="45"/>
      <c r="CD39" s="45"/>
      <c r="CE39" s="45"/>
      <c r="CF39" s="45">
        <f>1014</f>
        <v>1014</v>
      </c>
      <c r="CG39" s="45">
        <f>CK39</f>
        <v>1014</v>
      </c>
      <c r="CH39" s="45"/>
      <c r="CI39" s="45"/>
      <c r="CJ39" s="45"/>
      <c r="CK39" s="45">
        <f>1014</f>
        <v>1014</v>
      </c>
      <c r="CL39" s="45">
        <f>CP39</f>
        <v>1014</v>
      </c>
      <c r="CM39" s="45"/>
      <c r="CN39" s="45"/>
      <c r="CO39" s="45"/>
      <c r="CP39" s="45">
        <f>1014</f>
        <v>1014</v>
      </c>
      <c r="CQ39" s="48">
        <v>3320.7999999999997</v>
      </c>
      <c r="CR39" s="46">
        <v>714.05</v>
      </c>
      <c r="CS39" s="46">
        <v>119.92</v>
      </c>
      <c r="CT39" s="46"/>
      <c r="CU39" s="47">
        <v>2486.83</v>
      </c>
      <c r="CV39" s="44">
        <f>CZ39</f>
        <v>1014</v>
      </c>
      <c r="CW39" s="45"/>
      <c r="CX39" s="45"/>
      <c r="CY39" s="45"/>
      <c r="CZ39" s="49">
        <f>1014</f>
        <v>1014</v>
      </c>
      <c r="DA39" s="44">
        <f>DE39</f>
        <v>1014</v>
      </c>
      <c r="DB39" s="45"/>
      <c r="DC39" s="45"/>
      <c r="DD39" s="45"/>
      <c r="DE39" s="49">
        <f>1014</f>
        <v>1014</v>
      </c>
      <c r="DF39" s="48">
        <v>3320.7999999999997</v>
      </c>
      <c r="DG39" s="46">
        <v>714.05</v>
      </c>
      <c r="DH39" s="46">
        <v>119.92</v>
      </c>
      <c r="DI39" s="45"/>
      <c r="DJ39" s="46">
        <v>2486.83</v>
      </c>
      <c r="DK39" s="45">
        <f>DO39</f>
        <v>1014</v>
      </c>
      <c r="DL39" s="45"/>
      <c r="DM39" s="45"/>
      <c r="DN39" s="45"/>
      <c r="DO39" s="45">
        <f>1014</f>
        <v>1014</v>
      </c>
      <c r="DP39" s="45">
        <f>DT39</f>
        <v>1014</v>
      </c>
      <c r="DQ39" s="45"/>
      <c r="DR39" s="45"/>
      <c r="DS39" s="45"/>
      <c r="DT39" s="45">
        <f>1014</f>
        <v>1014</v>
      </c>
      <c r="DU39" s="50"/>
    </row>
    <row r="40" spans="1:125" s="37" customFormat="1" ht="63" x14ac:dyDescent="0.2">
      <c r="A40" s="26" t="s">
        <v>245</v>
      </c>
      <c r="B40" s="26" t="s">
        <v>246</v>
      </c>
      <c r="C40" s="27" t="s">
        <v>247</v>
      </c>
      <c r="D40" s="71" t="s">
        <v>168</v>
      </c>
      <c r="E40" s="71" t="s">
        <v>168</v>
      </c>
      <c r="F40" s="71" t="s">
        <v>168</v>
      </c>
      <c r="G40" s="71" t="s">
        <v>168</v>
      </c>
      <c r="H40" s="71" t="s">
        <v>168</v>
      </c>
      <c r="I40" s="71" t="s">
        <v>168</v>
      </c>
      <c r="J40" s="71" t="s">
        <v>168</v>
      </c>
      <c r="K40" s="71" t="s">
        <v>168</v>
      </c>
      <c r="L40" s="71" t="s">
        <v>168</v>
      </c>
      <c r="M40" s="71" t="s">
        <v>168</v>
      </c>
      <c r="N40" s="71" t="s">
        <v>168</v>
      </c>
      <c r="O40" s="71" t="s">
        <v>168</v>
      </c>
      <c r="P40" s="71" t="s">
        <v>168</v>
      </c>
      <c r="Q40" s="71" t="s">
        <v>168</v>
      </c>
      <c r="R40" s="71" t="s">
        <v>168</v>
      </c>
      <c r="S40" s="71" t="s">
        <v>168</v>
      </c>
      <c r="T40" s="71" t="s">
        <v>168</v>
      </c>
      <c r="U40" s="71" t="s">
        <v>168</v>
      </c>
      <c r="V40" s="71" t="s">
        <v>168</v>
      </c>
      <c r="W40" s="71" t="s">
        <v>168</v>
      </c>
      <c r="X40" s="71" t="s">
        <v>168</v>
      </c>
      <c r="Y40" s="71" t="s">
        <v>168</v>
      </c>
      <c r="Z40" s="71" t="s">
        <v>168</v>
      </c>
      <c r="AA40" s="71" t="s">
        <v>168</v>
      </c>
      <c r="AB40" s="71" t="s">
        <v>168</v>
      </c>
      <c r="AC40" s="71" t="s">
        <v>168</v>
      </c>
      <c r="AD40" s="71" t="s">
        <v>168</v>
      </c>
      <c r="AE40" s="71" t="s">
        <v>168</v>
      </c>
      <c r="AF40" s="71" t="s">
        <v>168</v>
      </c>
      <c r="AG40" s="28" t="s">
        <v>168</v>
      </c>
      <c r="AH40" s="29" t="s">
        <v>168</v>
      </c>
      <c r="AI40" s="30">
        <f>SUM(AI41:AI44)</f>
        <v>14345.16</v>
      </c>
      <c r="AJ40" s="31">
        <f t="shared" ref="AJ40:BL40" si="127">SUM(AJ41:AJ44)</f>
        <v>14345.16</v>
      </c>
      <c r="AK40" s="31">
        <f t="shared" si="127"/>
        <v>0</v>
      </c>
      <c r="AL40" s="31">
        <f t="shared" si="127"/>
        <v>0</v>
      </c>
      <c r="AM40" s="31">
        <f t="shared" si="127"/>
        <v>0</v>
      </c>
      <c r="AN40" s="31">
        <f t="shared" si="127"/>
        <v>0</v>
      </c>
      <c r="AO40" s="31">
        <f t="shared" si="127"/>
        <v>0</v>
      </c>
      <c r="AP40" s="31">
        <f t="shared" si="127"/>
        <v>0</v>
      </c>
      <c r="AQ40" s="31">
        <f t="shared" si="127"/>
        <v>14345.16</v>
      </c>
      <c r="AR40" s="31">
        <f t="shared" si="127"/>
        <v>14345.16</v>
      </c>
      <c r="AS40" s="31">
        <f>SUM(AS41:AS44)</f>
        <v>15446.38</v>
      </c>
      <c r="AT40" s="31">
        <f t="shared" si="127"/>
        <v>0</v>
      </c>
      <c r="AU40" s="31">
        <f t="shared" si="127"/>
        <v>0</v>
      </c>
      <c r="AV40" s="31">
        <f t="shared" si="127"/>
        <v>0</v>
      </c>
      <c r="AW40" s="31">
        <f t="shared" si="127"/>
        <v>15446.38</v>
      </c>
      <c r="AX40" s="31">
        <f t="shared" si="127"/>
        <v>15433.880000000001</v>
      </c>
      <c r="AY40" s="31">
        <f t="shared" si="127"/>
        <v>0</v>
      </c>
      <c r="AZ40" s="31">
        <f t="shared" si="127"/>
        <v>0</v>
      </c>
      <c r="BA40" s="31">
        <f t="shared" si="127"/>
        <v>0</v>
      </c>
      <c r="BB40" s="31">
        <f t="shared" si="127"/>
        <v>15433.880000000001</v>
      </c>
      <c r="BC40" s="31">
        <f t="shared" si="127"/>
        <v>15371.880000000001</v>
      </c>
      <c r="BD40" s="31">
        <f t="shared" si="127"/>
        <v>0</v>
      </c>
      <c r="BE40" s="31">
        <f t="shared" si="127"/>
        <v>0</v>
      </c>
      <c r="BF40" s="31">
        <f t="shared" si="127"/>
        <v>0</v>
      </c>
      <c r="BG40" s="31">
        <f t="shared" si="127"/>
        <v>15371.880000000001</v>
      </c>
      <c r="BH40" s="31">
        <f t="shared" si="127"/>
        <v>16553</v>
      </c>
      <c r="BI40" s="31">
        <f t="shared" si="127"/>
        <v>0</v>
      </c>
      <c r="BJ40" s="31">
        <f t="shared" si="127"/>
        <v>0</v>
      </c>
      <c r="BK40" s="31">
        <f t="shared" si="127"/>
        <v>0</v>
      </c>
      <c r="BL40" s="32">
        <f t="shared" si="127"/>
        <v>16553</v>
      </c>
      <c r="BM40" s="30">
        <f>SUM(BM41:BM44)</f>
        <v>6477.41</v>
      </c>
      <c r="BN40" s="31">
        <f t="shared" ref="BN40" si="128">SUM(BN41:BN44)</f>
        <v>6477.41</v>
      </c>
      <c r="BO40" s="31">
        <f t="shared" ref="BO40" si="129">SUM(BO41:BO44)</f>
        <v>0</v>
      </c>
      <c r="BP40" s="31">
        <f t="shared" ref="BP40" si="130">SUM(BP41:BP44)</f>
        <v>0</v>
      </c>
      <c r="BQ40" s="31">
        <f t="shared" ref="BQ40" si="131">SUM(BQ41:BQ44)</f>
        <v>0</v>
      </c>
      <c r="BR40" s="31">
        <f t="shared" ref="BR40" si="132">SUM(BR41:BR44)</f>
        <v>0</v>
      </c>
      <c r="BS40" s="31">
        <f t="shared" ref="BS40" si="133">SUM(BS41:BS44)</f>
        <v>0</v>
      </c>
      <c r="BT40" s="31">
        <f t="shared" ref="BT40" si="134">SUM(BT41:BT44)</f>
        <v>0</v>
      </c>
      <c r="BU40" s="31">
        <f t="shared" ref="BU40" si="135">SUM(BU41:BU44)</f>
        <v>6477.41</v>
      </c>
      <c r="BV40" s="32">
        <f t="shared" ref="BV40" si="136">SUM(BV41:BV44)</f>
        <v>6477.41</v>
      </c>
      <c r="BW40" s="31">
        <f>SUM(BW41:BW44)</f>
        <v>6915.7</v>
      </c>
      <c r="BX40" s="31">
        <f t="shared" ref="BX40" si="137">SUM(BX41:BX44)</f>
        <v>0</v>
      </c>
      <c r="BY40" s="31">
        <f t="shared" ref="BY40" si="138">SUM(BY41:BY44)</f>
        <v>0</v>
      </c>
      <c r="BZ40" s="31">
        <f t="shared" ref="BZ40" si="139">SUM(BZ41:BZ44)</f>
        <v>0</v>
      </c>
      <c r="CA40" s="31">
        <f t="shared" ref="CA40" si="140">SUM(CA41:CA44)</f>
        <v>6915.7</v>
      </c>
      <c r="CB40" s="31">
        <f t="shared" ref="CB40" si="141">SUM(CB41:CB44)</f>
        <v>6942.58</v>
      </c>
      <c r="CC40" s="31">
        <f t="shared" ref="CC40" si="142">SUM(CC41:CC44)</f>
        <v>0</v>
      </c>
      <c r="CD40" s="31">
        <f t="shared" ref="CD40" si="143">SUM(CD41:CD44)</f>
        <v>0</v>
      </c>
      <c r="CE40" s="31">
        <f t="shared" ref="CE40" si="144">SUM(CE41:CE44)</f>
        <v>0</v>
      </c>
      <c r="CF40" s="31">
        <f t="shared" ref="CF40" si="145">SUM(CF41:CF44)</f>
        <v>6942.58</v>
      </c>
      <c r="CG40" s="31">
        <f t="shared" ref="CG40" si="146">SUM(CG41:CG44)</f>
        <v>6966.3</v>
      </c>
      <c r="CH40" s="31">
        <f t="shared" ref="CH40" si="147">SUM(CH41:CH44)</f>
        <v>0</v>
      </c>
      <c r="CI40" s="31">
        <f t="shared" ref="CI40" si="148">SUM(CI41:CI44)</f>
        <v>0</v>
      </c>
      <c r="CJ40" s="31">
        <f t="shared" ref="CJ40" si="149">SUM(CJ41:CJ44)</f>
        <v>0</v>
      </c>
      <c r="CK40" s="31">
        <f t="shared" ref="CK40" si="150">SUM(CK41:CK44)</f>
        <v>6966.3</v>
      </c>
      <c r="CL40" s="31">
        <f t="shared" ref="CL40" si="151">SUM(CL41:CL44)</f>
        <v>6966.3</v>
      </c>
      <c r="CM40" s="31">
        <f t="shared" ref="CM40" si="152">SUM(CM41:CM44)</f>
        <v>0</v>
      </c>
      <c r="CN40" s="31">
        <f t="shared" ref="CN40" si="153">SUM(CN41:CN44)</f>
        <v>0</v>
      </c>
      <c r="CO40" s="31">
        <f t="shared" ref="CO40" si="154">SUM(CO41:CO44)</f>
        <v>0</v>
      </c>
      <c r="CP40" s="32">
        <f t="shared" ref="CP40" si="155">SUM(CP41:CP44)</f>
        <v>6966.3</v>
      </c>
      <c r="CQ40" s="33">
        <v>14345.16</v>
      </c>
      <c r="CR40" s="34">
        <v>0</v>
      </c>
      <c r="CS40" s="34">
        <v>0</v>
      </c>
      <c r="CT40" s="34">
        <v>0</v>
      </c>
      <c r="CU40" s="35">
        <v>14345.16</v>
      </c>
      <c r="CV40" s="30">
        <f>SUM(CV41:CV44)</f>
        <v>15446.380000000001</v>
      </c>
      <c r="CW40" s="31">
        <f t="shared" ref="CW40" si="156">SUM(CW41:CW44)</f>
        <v>0</v>
      </c>
      <c r="CX40" s="31">
        <f t="shared" ref="CX40" si="157">SUM(CX41:CX44)</f>
        <v>0</v>
      </c>
      <c r="CY40" s="31">
        <f t="shared" ref="CY40" si="158">SUM(CY41:CY44)</f>
        <v>0</v>
      </c>
      <c r="CZ40" s="32">
        <f t="shared" ref="CZ40" si="159">SUM(CZ41:CZ44)</f>
        <v>15446.380000000001</v>
      </c>
      <c r="DA40" s="30">
        <f t="shared" ref="DA40" si="160">SUM(DA41:DA44)</f>
        <v>15410.760000000002</v>
      </c>
      <c r="DB40" s="31">
        <f t="shared" ref="DB40" si="161">SUM(DB41:DB44)</f>
        <v>0</v>
      </c>
      <c r="DC40" s="31">
        <f t="shared" ref="DC40" si="162">SUM(DC41:DC44)</f>
        <v>0</v>
      </c>
      <c r="DD40" s="31">
        <f t="shared" ref="DD40" si="163">SUM(DD41:DD44)</f>
        <v>0</v>
      </c>
      <c r="DE40" s="32">
        <f t="shared" ref="DE40" si="164">SUM(DE41:DE44)</f>
        <v>15410.760000000002</v>
      </c>
      <c r="DF40" s="33">
        <v>6477.41</v>
      </c>
      <c r="DG40" s="34">
        <v>0</v>
      </c>
      <c r="DH40" s="34">
        <v>0</v>
      </c>
      <c r="DI40" s="31">
        <f t="shared" ref="DI40" si="165">SUM(DI41:DI44)</f>
        <v>0</v>
      </c>
      <c r="DJ40" s="34">
        <v>6477.41</v>
      </c>
      <c r="DK40" s="31">
        <f>SUM(DK41:DK44)</f>
        <v>6915.7</v>
      </c>
      <c r="DL40" s="31">
        <f t="shared" ref="DL40" si="166">SUM(DL41:DL44)</f>
        <v>0</v>
      </c>
      <c r="DM40" s="31">
        <f t="shared" ref="DM40" si="167">SUM(DM41:DM44)</f>
        <v>0</v>
      </c>
      <c r="DN40" s="31">
        <f t="shared" ref="DN40" si="168">SUM(DN41:DN44)</f>
        <v>0</v>
      </c>
      <c r="DO40" s="31">
        <f t="shared" ref="DO40" si="169">SUM(DO41:DO44)</f>
        <v>6915.7</v>
      </c>
      <c r="DP40" s="31">
        <f t="shared" ref="DP40" si="170">SUM(DP41:DP44)</f>
        <v>6942.58</v>
      </c>
      <c r="DQ40" s="31">
        <f t="shared" ref="DQ40" si="171">SUM(DQ41:DQ44)</f>
        <v>0</v>
      </c>
      <c r="DR40" s="31">
        <f t="shared" ref="DR40" si="172">SUM(DR41:DR44)</f>
        <v>0</v>
      </c>
      <c r="DS40" s="31">
        <f t="shared" ref="DS40" si="173">SUM(DS41:DS44)</f>
        <v>0</v>
      </c>
      <c r="DT40" s="31">
        <f t="shared" ref="DT40" si="174">SUM(DT41:DT44)</f>
        <v>6942.58</v>
      </c>
      <c r="DU40" s="36" t="s">
        <v>0</v>
      </c>
    </row>
    <row r="41" spans="1:125" s="37" customFormat="1" ht="225" x14ac:dyDescent="0.2">
      <c r="A41" s="38" t="s">
        <v>667</v>
      </c>
      <c r="B41" s="38" t="s">
        <v>668</v>
      </c>
      <c r="C41" s="39" t="s">
        <v>669</v>
      </c>
      <c r="D41" s="40" t="s">
        <v>427</v>
      </c>
      <c r="E41" s="40"/>
      <c r="F41" s="40"/>
      <c r="G41" s="40" t="s">
        <v>0</v>
      </c>
      <c r="H41" s="40" t="s">
        <v>0</v>
      </c>
      <c r="I41" s="40" t="s">
        <v>0</v>
      </c>
      <c r="J41" s="40" t="s">
        <v>0</v>
      </c>
      <c r="K41" s="40" t="s">
        <v>670</v>
      </c>
      <c r="L41" s="40" t="s">
        <v>0</v>
      </c>
      <c r="M41" s="40" t="s">
        <v>0</v>
      </c>
      <c r="N41" s="40" t="s">
        <v>0</v>
      </c>
      <c r="O41" s="40" t="s">
        <v>0</v>
      </c>
      <c r="P41" s="40" t="s">
        <v>0</v>
      </c>
      <c r="Q41" s="40" t="s">
        <v>0</v>
      </c>
      <c r="R41" s="40" t="s">
        <v>0</v>
      </c>
      <c r="S41" s="40" t="s">
        <v>0</v>
      </c>
      <c r="T41" s="40" t="s">
        <v>0</v>
      </c>
      <c r="U41" s="40" t="s">
        <v>0</v>
      </c>
      <c r="V41" s="40" t="s">
        <v>0</v>
      </c>
      <c r="W41" s="40" t="s">
        <v>0</v>
      </c>
      <c r="X41" s="40" t="s">
        <v>0</v>
      </c>
      <c r="Y41" s="40" t="s">
        <v>0</v>
      </c>
      <c r="Z41" s="40" t="s">
        <v>0</v>
      </c>
      <c r="AA41" s="40" t="s">
        <v>671</v>
      </c>
      <c r="AB41" s="41" t="s">
        <v>0</v>
      </c>
      <c r="AC41" s="41" t="s">
        <v>0</v>
      </c>
      <c r="AD41" s="40" t="s">
        <v>681</v>
      </c>
      <c r="AE41" s="41"/>
      <c r="AF41" s="41"/>
      <c r="AG41" s="42" t="s">
        <v>46</v>
      </c>
      <c r="AH41" s="43">
        <v>1004</v>
      </c>
      <c r="AI41" s="44">
        <v>7841.73</v>
      </c>
      <c r="AJ41" s="45">
        <v>7841.73</v>
      </c>
      <c r="AK41" s="31"/>
      <c r="AL41" s="31"/>
      <c r="AM41" s="31"/>
      <c r="AN41" s="31"/>
      <c r="AO41" s="31"/>
      <c r="AP41" s="31"/>
      <c r="AQ41" s="45">
        <v>7841.73</v>
      </c>
      <c r="AR41" s="45">
        <v>7841.73</v>
      </c>
      <c r="AS41" s="45">
        <f>AW41</f>
        <v>8530.68</v>
      </c>
      <c r="AT41" s="45"/>
      <c r="AU41" s="45"/>
      <c r="AV41" s="45"/>
      <c r="AW41" s="45">
        <v>8530.68</v>
      </c>
      <c r="AX41" s="45">
        <f>BB41</f>
        <v>8467.68</v>
      </c>
      <c r="AY41" s="31"/>
      <c r="AZ41" s="31"/>
      <c r="BA41" s="31"/>
      <c r="BB41" s="45">
        <v>8467.68</v>
      </c>
      <c r="BC41" s="45">
        <f>BG41</f>
        <v>8405.68</v>
      </c>
      <c r="BD41" s="45"/>
      <c r="BE41" s="45"/>
      <c r="BF41" s="45"/>
      <c r="BG41" s="45">
        <v>8405.68</v>
      </c>
      <c r="BH41" s="45">
        <v>9586.7999999999993</v>
      </c>
      <c r="BI41" s="45"/>
      <c r="BJ41" s="45"/>
      <c r="BK41" s="45"/>
      <c r="BL41" s="45">
        <v>9586.7999999999993</v>
      </c>
      <c r="BM41" s="44">
        <f>BU41</f>
        <v>0</v>
      </c>
      <c r="BN41" s="44">
        <f>BV41</f>
        <v>0</v>
      </c>
      <c r="BO41" s="31"/>
      <c r="BP41" s="31"/>
      <c r="BQ41" s="31"/>
      <c r="BR41" s="31"/>
      <c r="BS41" s="31"/>
      <c r="BT41" s="31"/>
      <c r="BU41" s="45"/>
      <c r="BV41" s="49"/>
      <c r="BW41" s="45">
        <f>CA41</f>
        <v>0</v>
      </c>
      <c r="BX41" s="45"/>
      <c r="BY41" s="45"/>
      <c r="BZ41" s="45"/>
      <c r="CA41" s="45">
        <f>8530.68-8530.68</f>
        <v>0</v>
      </c>
      <c r="CB41" s="45">
        <f>CF41</f>
        <v>0</v>
      </c>
      <c r="CC41" s="31"/>
      <c r="CD41" s="31"/>
      <c r="CE41" s="31"/>
      <c r="CF41" s="45">
        <f>8468.18-8468.18</f>
        <v>0</v>
      </c>
      <c r="CG41" s="45">
        <f>CK41</f>
        <v>0</v>
      </c>
      <c r="CH41" s="45"/>
      <c r="CI41" s="45"/>
      <c r="CJ41" s="45"/>
      <c r="CK41" s="45">
        <f>8405.68-8405.68</f>
        <v>0</v>
      </c>
      <c r="CL41" s="45">
        <f>CP41</f>
        <v>0</v>
      </c>
      <c r="CM41" s="45"/>
      <c r="CN41" s="45"/>
      <c r="CO41" s="45"/>
      <c r="CP41" s="45">
        <f>8405.68-8405.68</f>
        <v>0</v>
      </c>
      <c r="CQ41" s="33">
        <v>7841.73</v>
      </c>
      <c r="CR41" s="34"/>
      <c r="CS41" s="34"/>
      <c r="CT41" s="34"/>
      <c r="CU41" s="35">
        <v>7841.73</v>
      </c>
      <c r="CV41" s="44">
        <f>CZ41</f>
        <v>8530.68</v>
      </c>
      <c r="CW41" s="45"/>
      <c r="CX41" s="45"/>
      <c r="CY41" s="45"/>
      <c r="CZ41" s="49">
        <v>8530.68</v>
      </c>
      <c r="DA41" s="44">
        <f>DE41</f>
        <v>8468.18</v>
      </c>
      <c r="DB41" s="31"/>
      <c r="DC41" s="31"/>
      <c r="DD41" s="31"/>
      <c r="DE41" s="49">
        <v>8468.18</v>
      </c>
      <c r="DF41" s="33">
        <v>0</v>
      </c>
      <c r="DG41" s="34"/>
      <c r="DH41" s="34"/>
      <c r="DI41" s="31"/>
      <c r="DJ41" s="46"/>
      <c r="DK41" s="45">
        <f>DO41</f>
        <v>0</v>
      </c>
      <c r="DL41" s="45"/>
      <c r="DM41" s="45"/>
      <c r="DN41" s="45"/>
      <c r="DO41" s="45">
        <f>8530.68-8530.68</f>
        <v>0</v>
      </c>
      <c r="DP41" s="45">
        <f>DT41</f>
        <v>0</v>
      </c>
      <c r="DQ41" s="31"/>
      <c r="DR41" s="31"/>
      <c r="DS41" s="31"/>
      <c r="DT41" s="45">
        <f>8468.18-8468.18</f>
        <v>0</v>
      </c>
      <c r="DU41" s="36"/>
    </row>
    <row r="42" spans="1:125" s="73" customFormat="1" ht="112.5" x14ac:dyDescent="0.2">
      <c r="A42" s="38" t="s">
        <v>623</v>
      </c>
      <c r="B42" s="38" t="s">
        <v>624</v>
      </c>
      <c r="C42" s="39" t="s">
        <v>625</v>
      </c>
      <c r="D42" s="55" t="s">
        <v>427</v>
      </c>
      <c r="E42" s="55" t="s">
        <v>0</v>
      </c>
      <c r="F42" s="55" t="s">
        <v>0</v>
      </c>
      <c r="G42" s="55" t="s">
        <v>0</v>
      </c>
      <c r="H42" s="55" t="s">
        <v>0</v>
      </c>
      <c r="I42" s="55" t="s">
        <v>0</v>
      </c>
      <c r="J42" s="55" t="s">
        <v>0</v>
      </c>
      <c r="K42" s="55" t="s">
        <v>0</v>
      </c>
      <c r="L42" s="55" t="s">
        <v>0</v>
      </c>
      <c r="M42" s="55" t="s">
        <v>0</v>
      </c>
      <c r="N42" s="55" t="s">
        <v>0</v>
      </c>
      <c r="O42" s="55" t="s">
        <v>0</v>
      </c>
      <c r="P42" s="55" t="s">
        <v>0</v>
      </c>
      <c r="Q42" s="55" t="s">
        <v>0</v>
      </c>
      <c r="R42" s="55" t="s">
        <v>0</v>
      </c>
      <c r="S42" s="55" t="s">
        <v>0</v>
      </c>
      <c r="T42" s="55" t="s">
        <v>0</v>
      </c>
      <c r="U42" s="55" t="s">
        <v>0</v>
      </c>
      <c r="V42" s="55" t="s">
        <v>0</v>
      </c>
      <c r="W42" s="55" t="s">
        <v>0</v>
      </c>
      <c r="X42" s="55" t="s">
        <v>626</v>
      </c>
      <c r="Y42" s="55" t="s">
        <v>0</v>
      </c>
      <c r="Z42" s="55" t="s">
        <v>0</v>
      </c>
      <c r="AA42" s="55" t="s">
        <v>0</v>
      </c>
      <c r="AB42" s="55" t="s">
        <v>0</v>
      </c>
      <c r="AC42" s="55" t="s">
        <v>0</v>
      </c>
      <c r="AD42" s="55" t="s">
        <v>682</v>
      </c>
      <c r="AE42" s="41"/>
      <c r="AF42" s="41"/>
      <c r="AG42" s="42" t="s">
        <v>52</v>
      </c>
      <c r="AH42" s="43" t="s">
        <v>615</v>
      </c>
      <c r="AI42" s="44">
        <v>105</v>
      </c>
      <c r="AJ42" s="45">
        <v>105</v>
      </c>
      <c r="AK42" s="45"/>
      <c r="AL42" s="45"/>
      <c r="AM42" s="45"/>
      <c r="AN42" s="45"/>
      <c r="AO42" s="45"/>
      <c r="AP42" s="45"/>
      <c r="AQ42" s="45">
        <v>105</v>
      </c>
      <c r="AR42" s="45">
        <v>105</v>
      </c>
      <c r="AS42" s="45">
        <f>AW42</f>
        <v>105</v>
      </c>
      <c r="AT42" s="45"/>
      <c r="AU42" s="45"/>
      <c r="AV42" s="45"/>
      <c r="AW42" s="45">
        <v>105</v>
      </c>
      <c r="AX42" s="45">
        <f>BB42</f>
        <v>105</v>
      </c>
      <c r="AY42" s="45"/>
      <c r="AZ42" s="45"/>
      <c r="BA42" s="45"/>
      <c r="BB42" s="45">
        <v>105</v>
      </c>
      <c r="BC42" s="45">
        <f>BG42</f>
        <v>105</v>
      </c>
      <c r="BD42" s="45"/>
      <c r="BE42" s="45"/>
      <c r="BF42" s="45"/>
      <c r="BG42" s="45">
        <v>105</v>
      </c>
      <c r="BH42" s="45">
        <f>BL42</f>
        <v>105</v>
      </c>
      <c r="BI42" s="45"/>
      <c r="BJ42" s="45"/>
      <c r="BK42" s="45"/>
      <c r="BL42" s="45">
        <v>105</v>
      </c>
      <c r="BM42" s="44">
        <v>105</v>
      </c>
      <c r="BN42" s="45">
        <v>105</v>
      </c>
      <c r="BO42" s="45"/>
      <c r="BP42" s="45"/>
      <c r="BQ42" s="45"/>
      <c r="BR42" s="45"/>
      <c r="BS42" s="45"/>
      <c r="BT42" s="45"/>
      <c r="BU42" s="45">
        <v>105</v>
      </c>
      <c r="BV42" s="49">
        <v>105</v>
      </c>
      <c r="BW42" s="45">
        <f>CA42</f>
        <v>105</v>
      </c>
      <c r="BX42" s="45"/>
      <c r="BY42" s="45"/>
      <c r="BZ42" s="45"/>
      <c r="CA42" s="45">
        <v>105</v>
      </c>
      <c r="CB42" s="45">
        <f>CF42</f>
        <v>105</v>
      </c>
      <c r="CC42" s="45"/>
      <c r="CD42" s="45"/>
      <c r="CE42" s="45"/>
      <c r="CF42" s="45">
        <v>105</v>
      </c>
      <c r="CG42" s="45">
        <f>CK42</f>
        <v>105</v>
      </c>
      <c r="CH42" s="45"/>
      <c r="CI42" s="45"/>
      <c r="CJ42" s="45"/>
      <c r="CK42" s="45">
        <v>105</v>
      </c>
      <c r="CL42" s="45">
        <f>CP42</f>
        <v>105</v>
      </c>
      <c r="CM42" s="45"/>
      <c r="CN42" s="45"/>
      <c r="CO42" s="45"/>
      <c r="CP42" s="45">
        <v>105</v>
      </c>
      <c r="CQ42" s="48">
        <v>105</v>
      </c>
      <c r="CR42" s="46"/>
      <c r="CS42" s="46"/>
      <c r="CT42" s="46"/>
      <c r="CU42" s="47">
        <v>105</v>
      </c>
      <c r="CV42" s="44">
        <f>CZ42</f>
        <v>105</v>
      </c>
      <c r="CW42" s="45"/>
      <c r="CX42" s="45"/>
      <c r="CY42" s="45"/>
      <c r="CZ42" s="49">
        <v>105</v>
      </c>
      <c r="DA42" s="44">
        <f>DE42</f>
        <v>105</v>
      </c>
      <c r="DB42" s="45"/>
      <c r="DC42" s="45"/>
      <c r="DD42" s="45"/>
      <c r="DE42" s="49">
        <v>105</v>
      </c>
      <c r="DF42" s="48">
        <v>105</v>
      </c>
      <c r="DG42" s="46"/>
      <c r="DH42" s="46"/>
      <c r="DI42" s="45"/>
      <c r="DJ42" s="46">
        <v>105</v>
      </c>
      <c r="DK42" s="45">
        <f>DO42</f>
        <v>105</v>
      </c>
      <c r="DL42" s="45"/>
      <c r="DM42" s="45"/>
      <c r="DN42" s="45"/>
      <c r="DO42" s="45">
        <v>105</v>
      </c>
      <c r="DP42" s="45">
        <f>DT42</f>
        <v>105</v>
      </c>
      <c r="DQ42" s="45"/>
      <c r="DR42" s="45"/>
      <c r="DS42" s="45"/>
      <c r="DT42" s="45">
        <v>105</v>
      </c>
      <c r="DU42" s="72"/>
    </row>
    <row r="43" spans="1:125" ht="409.5" x14ac:dyDescent="0.2">
      <c r="A43" s="74" t="s">
        <v>248</v>
      </c>
      <c r="B43" s="74" t="s">
        <v>249</v>
      </c>
      <c r="C43" s="75" t="s">
        <v>250</v>
      </c>
      <c r="D43" s="40" t="s">
        <v>444</v>
      </c>
      <c r="E43" s="40" t="s">
        <v>434</v>
      </c>
      <c r="F43" s="40" t="s">
        <v>426</v>
      </c>
      <c r="G43" s="40" t="s">
        <v>0</v>
      </c>
      <c r="H43" s="40" t="s">
        <v>0</v>
      </c>
      <c r="I43" s="40" t="s">
        <v>0</v>
      </c>
      <c r="J43" s="40" t="s">
        <v>0</v>
      </c>
      <c r="K43" s="40" t="s">
        <v>0</v>
      </c>
      <c r="L43" s="40" t="s">
        <v>0</v>
      </c>
      <c r="M43" s="40" t="s">
        <v>0</v>
      </c>
      <c r="N43" s="40" t="s">
        <v>0</v>
      </c>
      <c r="O43" s="40" t="s">
        <v>0</v>
      </c>
      <c r="P43" s="40" t="s">
        <v>0</v>
      </c>
      <c r="Q43" s="40" t="s">
        <v>0</v>
      </c>
      <c r="R43" s="40" t="s">
        <v>0</v>
      </c>
      <c r="S43" s="40" t="s">
        <v>0</v>
      </c>
      <c r="T43" s="40" t="s">
        <v>0</v>
      </c>
      <c r="U43" s="40" t="s">
        <v>0</v>
      </c>
      <c r="V43" s="40" t="s">
        <v>0</v>
      </c>
      <c r="W43" s="40" t="s">
        <v>0</v>
      </c>
      <c r="X43" s="40" t="s">
        <v>0</v>
      </c>
      <c r="Y43" s="40" t="s">
        <v>0</v>
      </c>
      <c r="Z43" s="40" t="s">
        <v>0</v>
      </c>
      <c r="AA43" s="40" t="s">
        <v>0</v>
      </c>
      <c r="AB43" s="40" t="s">
        <v>0</v>
      </c>
      <c r="AC43" s="40" t="s">
        <v>0</v>
      </c>
      <c r="AD43" s="40" t="s">
        <v>494</v>
      </c>
      <c r="AE43" s="40"/>
      <c r="AF43" s="40"/>
      <c r="AG43" s="13" t="s">
        <v>46</v>
      </c>
      <c r="AH43" s="76" t="s">
        <v>251</v>
      </c>
      <c r="AI43" s="67">
        <v>1629.77</v>
      </c>
      <c r="AJ43" s="66">
        <v>1629.77</v>
      </c>
      <c r="AK43" s="66">
        <v>0</v>
      </c>
      <c r="AL43" s="77">
        <v>0</v>
      </c>
      <c r="AM43" s="66">
        <v>0</v>
      </c>
      <c r="AN43" s="66">
        <v>0</v>
      </c>
      <c r="AO43" s="66">
        <v>0</v>
      </c>
      <c r="AP43" s="66">
        <v>0</v>
      </c>
      <c r="AQ43" s="78">
        <v>1629.77</v>
      </c>
      <c r="AR43" s="78">
        <v>1629.77</v>
      </c>
      <c r="AS43" s="66">
        <f>SUM(AT43:AW43)</f>
        <v>472.8</v>
      </c>
      <c r="AT43" s="66">
        <v>0</v>
      </c>
      <c r="AU43" s="66">
        <v>0</v>
      </c>
      <c r="AV43" s="66">
        <v>0</v>
      </c>
      <c r="AW43" s="66">
        <v>472.8</v>
      </c>
      <c r="AX43" s="66">
        <f>SUM(AY43:BB43)</f>
        <v>416</v>
      </c>
      <c r="AY43" s="66">
        <v>0</v>
      </c>
      <c r="AZ43" s="66">
        <v>0</v>
      </c>
      <c r="BA43" s="66">
        <v>0</v>
      </c>
      <c r="BB43" s="66">
        <v>416</v>
      </c>
      <c r="BC43" s="66">
        <v>416</v>
      </c>
      <c r="BD43" s="66">
        <v>0</v>
      </c>
      <c r="BE43" s="66">
        <v>0</v>
      </c>
      <c r="BF43" s="66">
        <v>0</v>
      </c>
      <c r="BG43" s="66">
        <f>BC43</f>
        <v>416</v>
      </c>
      <c r="BH43" s="66">
        <v>416</v>
      </c>
      <c r="BI43" s="66">
        <v>0</v>
      </c>
      <c r="BJ43" s="66">
        <v>0</v>
      </c>
      <c r="BK43" s="66">
        <v>0</v>
      </c>
      <c r="BL43" s="68">
        <f>BH43</f>
        <v>416</v>
      </c>
      <c r="BM43" s="67">
        <f>BU43</f>
        <v>1603.75</v>
      </c>
      <c r="BN43" s="67">
        <f>BV43</f>
        <v>1603.75</v>
      </c>
      <c r="BO43" s="66">
        <v>0</v>
      </c>
      <c r="BP43" s="77">
        <v>0</v>
      </c>
      <c r="BQ43" s="66">
        <v>0</v>
      </c>
      <c r="BR43" s="66">
        <v>0</v>
      </c>
      <c r="BS43" s="66">
        <v>0</v>
      </c>
      <c r="BT43" s="66">
        <v>0</v>
      </c>
      <c r="BU43" s="78">
        <f>1629.77-22.22-3.8</f>
        <v>1603.75</v>
      </c>
      <c r="BV43" s="79">
        <f>1629.77-22.22-3.8</f>
        <v>1603.75</v>
      </c>
      <c r="BW43" s="66">
        <v>2037.66</v>
      </c>
      <c r="BX43" s="66">
        <v>0</v>
      </c>
      <c r="BY43" s="66">
        <v>0</v>
      </c>
      <c r="BZ43" s="66">
        <v>0</v>
      </c>
      <c r="CA43" s="66">
        <f>BW43</f>
        <v>2037.66</v>
      </c>
      <c r="CB43" s="66">
        <v>2064.54</v>
      </c>
      <c r="CC43" s="66">
        <v>0</v>
      </c>
      <c r="CD43" s="66">
        <v>0</v>
      </c>
      <c r="CE43" s="66">
        <v>0</v>
      </c>
      <c r="CF43" s="66">
        <f>CB43</f>
        <v>2064.54</v>
      </c>
      <c r="CG43" s="66">
        <v>2088.2600000000002</v>
      </c>
      <c r="CH43" s="66">
        <v>0</v>
      </c>
      <c r="CI43" s="66">
        <v>0</v>
      </c>
      <c r="CJ43" s="66">
        <v>0</v>
      </c>
      <c r="CK43" s="66">
        <f>CG43</f>
        <v>2088.2600000000002</v>
      </c>
      <c r="CL43" s="66">
        <v>2088.2600000000002</v>
      </c>
      <c r="CM43" s="66">
        <v>0</v>
      </c>
      <c r="CN43" s="66">
        <v>0</v>
      </c>
      <c r="CO43" s="66">
        <v>0</v>
      </c>
      <c r="CP43" s="68">
        <f>CL43</f>
        <v>2088.2600000000002</v>
      </c>
      <c r="CQ43" s="80">
        <v>1629.77</v>
      </c>
      <c r="CR43" s="78">
        <v>0</v>
      </c>
      <c r="CS43" s="78">
        <v>0</v>
      </c>
      <c r="CT43" s="78">
        <v>0</v>
      </c>
      <c r="CU43" s="79">
        <v>1629.77</v>
      </c>
      <c r="CV43" s="67">
        <v>2037.66</v>
      </c>
      <c r="CW43" s="66">
        <v>0</v>
      </c>
      <c r="CX43" s="66">
        <v>0</v>
      </c>
      <c r="CY43" s="66">
        <v>0</v>
      </c>
      <c r="CZ43" s="68">
        <f>CV43</f>
        <v>2037.66</v>
      </c>
      <c r="DA43" s="67">
        <v>2064.54</v>
      </c>
      <c r="DB43" s="66">
        <v>0</v>
      </c>
      <c r="DC43" s="66">
        <v>0</v>
      </c>
      <c r="DD43" s="66">
        <v>0</v>
      </c>
      <c r="DE43" s="68">
        <f>DA43</f>
        <v>2064.54</v>
      </c>
      <c r="DF43" s="80">
        <v>1603.75</v>
      </c>
      <c r="DG43" s="78">
        <v>0</v>
      </c>
      <c r="DH43" s="78">
        <v>0</v>
      </c>
      <c r="DI43" s="66">
        <v>0</v>
      </c>
      <c r="DJ43" s="78">
        <v>1603.75</v>
      </c>
      <c r="DK43" s="66">
        <v>2037.66</v>
      </c>
      <c r="DL43" s="66">
        <v>0</v>
      </c>
      <c r="DM43" s="66">
        <v>0</v>
      </c>
      <c r="DN43" s="66">
        <v>0</v>
      </c>
      <c r="DO43" s="66">
        <f>DK43</f>
        <v>2037.66</v>
      </c>
      <c r="DP43" s="66">
        <v>2064.54</v>
      </c>
      <c r="DQ43" s="66">
        <v>0</v>
      </c>
      <c r="DR43" s="66">
        <v>0</v>
      </c>
      <c r="DS43" s="66">
        <v>0</v>
      </c>
      <c r="DT43" s="66">
        <f>DP43</f>
        <v>2064.54</v>
      </c>
      <c r="DU43" s="51" t="s">
        <v>178</v>
      </c>
    </row>
    <row r="44" spans="1:125" ht="409.5" x14ac:dyDescent="0.2">
      <c r="A44" s="74" t="s">
        <v>252</v>
      </c>
      <c r="B44" s="74" t="s">
        <v>253</v>
      </c>
      <c r="C44" s="75" t="s">
        <v>254</v>
      </c>
      <c r="D44" s="40" t="s">
        <v>444</v>
      </c>
      <c r="E44" s="40" t="s">
        <v>434</v>
      </c>
      <c r="F44" s="40" t="s">
        <v>426</v>
      </c>
      <c r="G44" s="40" t="s">
        <v>0</v>
      </c>
      <c r="H44" s="40" t="s">
        <v>0</v>
      </c>
      <c r="I44" s="40" t="s">
        <v>0</v>
      </c>
      <c r="J44" s="40" t="s">
        <v>0</v>
      </c>
      <c r="K44" s="40" t="s">
        <v>0</v>
      </c>
      <c r="L44" s="40" t="s">
        <v>0</v>
      </c>
      <c r="M44" s="40" t="s">
        <v>0</v>
      </c>
      <c r="N44" s="40" t="s">
        <v>0</v>
      </c>
      <c r="O44" s="40" t="s">
        <v>0</v>
      </c>
      <c r="P44" s="40" t="s">
        <v>0</v>
      </c>
      <c r="Q44" s="40" t="s">
        <v>0</v>
      </c>
      <c r="R44" s="40" t="s">
        <v>0</v>
      </c>
      <c r="S44" s="40" t="s">
        <v>0</v>
      </c>
      <c r="T44" s="40" t="s">
        <v>0</v>
      </c>
      <c r="U44" s="40" t="s">
        <v>0</v>
      </c>
      <c r="V44" s="40" t="s">
        <v>0</v>
      </c>
      <c r="W44" s="40" t="s">
        <v>0</v>
      </c>
      <c r="X44" s="40" t="s">
        <v>0</v>
      </c>
      <c r="Y44" s="40" t="s">
        <v>0</v>
      </c>
      <c r="Z44" s="40" t="s">
        <v>0</v>
      </c>
      <c r="AA44" s="40" t="s">
        <v>0</v>
      </c>
      <c r="AB44" s="40" t="s">
        <v>0</v>
      </c>
      <c r="AC44" s="40" t="s">
        <v>0</v>
      </c>
      <c r="AD44" s="81" t="s">
        <v>495</v>
      </c>
      <c r="AE44" s="40"/>
      <c r="AF44" s="40"/>
      <c r="AG44" s="13" t="s">
        <v>46</v>
      </c>
      <c r="AH44" s="76" t="s">
        <v>251</v>
      </c>
      <c r="AI44" s="67">
        <v>4768.66</v>
      </c>
      <c r="AJ44" s="66">
        <v>4768.66</v>
      </c>
      <c r="AK44" s="66">
        <v>0</v>
      </c>
      <c r="AL44" s="77">
        <v>0</v>
      </c>
      <c r="AM44" s="66">
        <v>0</v>
      </c>
      <c r="AN44" s="66">
        <v>0</v>
      </c>
      <c r="AO44" s="66">
        <v>0</v>
      </c>
      <c r="AP44" s="66">
        <v>0</v>
      </c>
      <c r="AQ44" s="78">
        <v>4768.66</v>
      </c>
      <c r="AR44" s="78">
        <v>4768.66</v>
      </c>
      <c r="AS44" s="66">
        <f>SUM(AT44:AW44)</f>
        <v>6337.9</v>
      </c>
      <c r="AT44" s="66">
        <v>0</v>
      </c>
      <c r="AU44" s="66">
        <v>0</v>
      </c>
      <c r="AV44" s="66">
        <v>0</v>
      </c>
      <c r="AW44" s="66">
        <v>6337.9</v>
      </c>
      <c r="AX44" s="66">
        <f>SUM(AY44:BB44)</f>
        <v>6445.2</v>
      </c>
      <c r="AY44" s="66">
        <v>0</v>
      </c>
      <c r="AZ44" s="66">
        <v>0</v>
      </c>
      <c r="BA44" s="66">
        <v>0</v>
      </c>
      <c r="BB44" s="66">
        <v>6445.2</v>
      </c>
      <c r="BC44" s="66">
        <v>6445.2</v>
      </c>
      <c r="BD44" s="66">
        <v>0</v>
      </c>
      <c r="BE44" s="66">
        <v>0</v>
      </c>
      <c r="BF44" s="66">
        <v>0</v>
      </c>
      <c r="BG44" s="66">
        <f>BC44</f>
        <v>6445.2</v>
      </c>
      <c r="BH44" s="66">
        <v>6445.2</v>
      </c>
      <c r="BI44" s="66">
        <v>0</v>
      </c>
      <c r="BJ44" s="66">
        <v>0</v>
      </c>
      <c r="BK44" s="66">
        <v>0</v>
      </c>
      <c r="BL44" s="68">
        <f>BH44</f>
        <v>6445.2</v>
      </c>
      <c r="BM44" s="67">
        <v>4768.66</v>
      </c>
      <c r="BN44" s="66">
        <v>4768.66</v>
      </c>
      <c r="BO44" s="66">
        <v>0</v>
      </c>
      <c r="BP44" s="77">
        <v>0</v>
      </c>
      <c r="BQ44" s="66">
        <v>0</v>
      </c>
      <c r="BR44" s="66">
        <v>0</v>
      </c>
      <c r="BS44" s="66">
        <v>0</v>
      </c>
      <c r="BT44" s="66">
        <v>0</v>
      </c>
      <c r="BU44" s="78">
        <v>4768.66</v>
      </c>
      <c r="BV44" s="79">
        <v>4768.66</v>
      </c>
      <c r="BW44" s="66">
        <v>4773.04</v>
      </c>
      <c r="BX44" s="66">
        <v>0</v>
      </c>
      <c r="BY44" s="66">
        <v>0</v>
      </c>
      <c r="BZ44" s="66">
        <v>0</v>
      </c>
      <c r="CA44" s="66">
        <f>BW44</f>
        <v>4773.04</v>
      </c>
      <c r="CB44" s="66">
        <v>4773.04</v>
      </c>
      <c r="CC44" s="66">
        <v>0</v>
      </c>
      <c r="CD44" s="66">
        <v>0</v>
      </c>
      <c r="CE44" s="66">
        <v>0</v>
      </c>
      <c r="CF44" s="66">
        <f>CB44</f>
        <v>4773.04</v>
      </c>
      <c r="CG44" s="66">
        <v>4773.04</v>
      </c>
      <c r="CH44" s="66">
        <v>0</v>
      </c>
      <c r="CI44" s="66">
        <v>0</v>
      </c>
      <c r="CJ44" s="66">
        <v>0</v>
      </c>
      <c r="CK44" s="66">
        <f>CG44</f>
        <v>4773.04</v>
      </c>
      <c r="CL44" s="66">
        <v>4773.04</v>
      </c>
      <c r="CM44" s="66">
        <v>0</v>
      </c>
      <c r="CN44" s="66">
        <v>0</v>
      </c>
      <c r="CO44" s="66">
        <v>0</v>
      </c>
      <c r="CP44" s="68">
        <f>CL44</f>
        <v>4773.04</v>
      </c>
      <c r="CQ44" s="80">
        <v>4768.66</v>
      </c>
      <c r="CR44" s="78">
        <v>0</v>
      </c>
      <c r="CS44" s="78">
        <v>0</v>
      </c>
      <c r="CT44" s="78">
        <v>0</v>
      </c>
      <c r="CU44" s="79">
        <v>4768.66</v>
      </c>
      <c r="CV44" s="67">
        <v>4773.04</v>
      </c>
      <c r="CW44" s="66">
        <v>0</v>
      </c>
      <c r="CX44" s="66">
        <v>0</v>
      </c>
      <c r="CY44" s="66">
        <v>0</v>
      </c>
      <c r="CZ44" s="68">
        <f>CV44</f>
        <v>4773.04</v>
      </c>
      <c r="DA44" s="67">
        <v>4773.04</v>
      </c>
      <c r="DB44" s="66">
        <v>0</v>
      </c>
      <c r="DC44" s="66">
        <v>0</v>
      </c>
      <c r="DD44" s="66">
        <v>0</v>
      </c>
      <c r="DE44" s="68">
        <f>DA44</f>
        <v>4773.04</v>
      </c>
      <c r="DF44" s="80">
        <v>4768.66</v>
      </c>
      <c r="DG44" s="78">
        <v>0</v>
      </c>
      <c r="DH44" s="78">
        <v>0</v>
      </c>
      <c r="DI44" s="66">
        <v>0</v>
      </c>
      <c r="DJ44" s="78">
        <v>4768.66</v>
      </c>
      <c r="DK44" s="66">
        <v>4773.04</v>
      </c>
      <c r="DL44" s="66">
        <v>0</v>
      </c>
      <c r="DM44" s="66">
        <v>0</v>
      </c>
      <c r="DN44" s="66">
        <v>0</v>
      </c>
      <c r="DO44" s="66">
        <f>DK44</f>
        <v>4773.04</v>
      </c>
      <c r="DP44" s="66">
        <v>4773.04</v>
      </c>
      <c r="DQ44" s="66">
        <v>0</v>
      </c>
      <c r="DR44" s="66">
        <v>0</v>
      </c>
      <c r="DS44" s="66">
        <v>0</v>
      </c>
      <c r="DT44" s="66">
        <f>DP44</f>
        <v>4773.04</v>
      </c>
      <c r="DU44" s="51" t="s">
        <v>190</v>
      </c>
    </row>
    <row r="45" spans="1:125" s="37" customFormat="1" ht="136.5" x14ac:dyDescent="0.2">
      <c r="A45" s="26" t="s">
        <v>255</v>
      </c>
      <c r="B45" s="26" t="s">
        <v>256</v>
      </c>
      <c r="C45" s="27" t="s">
        <v>257</v>
      </c>
      <c r="D45" s="71" t="s">
        <v>168</v>
      </c>
      <c r="E45" s="71" t="s">
        <v>168</v>
      </c>
      <c r="F45" s="71" t="s">
        <v>168</v>
      </c>
      <c r="G45" s="71" t="s">
        <v>168</v>
      </c>
      <c r="H45" s="71" t="s">
        <v>168</v>
      </c>
      <c r="I45" s="71" t="s">
        <v>168</v>
      </c>
      <c r="J45" s="71" t="s">
        <v>168</v>
      </c>
      <c r="K45" s="71" t="s">
        <v>168</v>
      </c>
      <c r="L45" s="71" t="s">
        <v>168</v>
      </c>
      <c r="M45" s="71" t="s">
        <v>168</v>
      </c>
      <c r="N45" s="71" t="s">
        <v>168</v>
      </c>
      <c r="O45" s="71" t="s">
        <v>168</v>
      </c>
      <c r="P45" s="71" t="s">
        <v>168</v>
      </c>
      <c r="Q45" s="71" t="s">
        <v>168</v>
      </c>
      <c r="R45" s="71" t="s">
        <v>168</v>
      </c>
      <c r="S45" s="71" t="s">
        <v>168</v>
      </c>
      <c r="T45" s="71" t="s">
        <v>168</v>
      </c>
      <c r="U45" s="71" t="s">
        <v>168</v>
      </c>
      <c r="V45" s="71" t="s">
        <v>168</v>
      </c>
      <c r="W45" s="71" t="s">
        <v>168</v>
      </c>
      <c r="X45" s="71" t="s">
        <v>168</v>
      </c>
      <c r="Y45" s="71" t="s">
        <v>168</v>
      </c>
      <c r="Z45" s="71" t="s">
        <v>168</v>
      </c>
      <c r="AA45" s="71" t="s">
        <v>168</v>
      </c>
      <c r="AB45" s="71" t="s">
        <v>168</v>
      </c>
      <c r="AC45" s="71" t="s">
        <v>168</v>
      </c>
      <c r="AD45" s="71" t="s">
        <v>168</v>
      </c>
      <c r="AE45" s="71" t="s">
        <v>168</v>
      </c>
      <c r="AF45" s="71" t="s">
        <v>168</v>
      </c>
      <c r="AG45" s="71" t="s">
        <v>168</v>
      </c>
      <c r="AH45" s="82" t="s">
        <v>168</v>
      </c>
      <c r="AI45" s="30">
        <f>SUM(AI46:AI53)</f>
        <v>912119.29999999993</v>
      </c>
      <c r="AJ45" s="31">
        <f t="shared" ref="AJ45:AR45" si="175">SUM(AJ46:AJ53)</f>
        <v>870859.77</v>
      </c>
      <c r="AK45" s="31">
        <f t="shared" si="175"/>
        <v>0</v>
      </c>
      <c r="AL45" s="31">
        <f t="shared" si="175"/>
        <v>0</v>
      </c>
      <c r="AM45" s="31">
        <f t="shared" si="175"/>
        <v>0</v>
      </c>
      <c r="AN45" s="31">
        <f t="shared" si="175"/>
        <v>0</v>
      </c>
      <c r="AO45" s="31">
        <f t="shared" si="175"/>
        <v>0</v>
      </c>
      <c r="AP45" s="31">
        <f t="shared" si="175"/>
        <v>0</v>
      </c>
      <c r="AQ45" s="31">
        <f t="shared" si="175"/>
        <v>912119.29999999993</v>
      </c>
      <c r="AR45" s="31">
        <f t="shared" si="175"/>
        <v>870859.76</v>
      </c>
      <c r="AS45" s="31">
        <f>SUM(AS46:AS53)</f>
        <v>1017093.7599999999</v>
      </c>
      <c r="AT45" s="31">
        <f t="shared" ref="AT45" si="176">SUM(AT46:AT53)</f>
        <v>0</v>
      </c>
      <c r="AU45" s="31">
        <f t="shared" ref="AU45" si="177">SUM(AU46:AU53)</f>
        <v>0</v>
      </c>
      <c r="AV45" s="31">
        <f t="shared" ref="AV45" si="178">SUM(AV46:AV53)</f>
        <v>72900</v>
      </c>
      <c r="AW45" s="31">
        <f t="shared" ref="AW45" si="179">SUM(AW46:AW53)</f>
        <v>944193.75999999989</v>
      </c>
      <c r="AX45" s="31">
        <f t="shared" ref="AX45" si="180">SUM(AX46:AX53)</f>
        <v>1126171.7</v>
      </c>
      <c r="AY45" s="31">
        <f t="shared" ref="AY45" si="181">SUM(AY46:AY53)</f>
        <v>0</v>
      </c>
      <c r="AZ45" s="31">
        <f t="shared" ref="AZ45" si="182">SUM(AZ46:AZ53)</f>
        <v>0</v>
      </c>
      <c r="BA45" s="31">
        <f t="shared" ref="BA45" si="183">SUM(BA46:BA53)</f>
        <v>72900</v>
      </c>
      <c r="BB45" s="31">
        <f t="shared" ref="BB45" si="184">SUM(BB46:BB53)</f>
        <v>1053271.7</v>
      </c>
      <c r="BC45" s="31">
        <f t="shared" ref="BC45" si="185">SUM(BC46:BC53)</f>
        <v>963080.32</v>
      </c>
      <c r="BD45" s="31">
        <f t="shared" ref="BD45" si="186">SUM(BD46:BD53)</f>
        <v>0</v>
      </c>
      <c r="BE45" s="31">
        <f t="shared" ref="BE45" si="187">SUM(BE46:BE53)</f>
        <v>0</v>
      </c>
      <c r="BF45" s="31">
        <f t="shared" ref="BF45" si="188">SUM(BF46:BF53)</f>
        <v>0</v>
      </c>
      <c r="BG45" s="31">
        <f t="shared" ref="BG45" si="189">SUM(BG46:BG53)</f>
        <v>963080.32</v>
      </c>
      <c r="BH45" s="31">
        <f t="shared" ref="BH45" si="190">SUM(BH46:BH53)</f>
        <v>963080.32</v>
      </c>
      <c r="BI45" s="31">
        <f t="shared" ref="BI45" si="191">SUM(BI46:BI53)</f>
        <v>0</v>
      </c>
      <c r="BJ45" s="31">
        <f t="shared" ref="BJ45" si="192">SUM(BJ46:BJ53)</f>
        <v>0</v>
      </c>
      <c r="BK45" s="31">
        <f t="shared" ref="BK45" si="193">SUM(BK46:BK53)</f>
        <v>0</v>
      </c>
      <c r="BL45" s="32">
        <f t="shared" ref="BL45" si="194">SUM(BL46:BL53)</f>
        <v>963080.32</v>
      </c>
      <c r="BM45" s="30">
        <f>SUM(BM46:BM53)</f>
        <v>908073.41999999993</v>
      </c>
      <c r="BN45" s="31">
        <f t="shared" ref="BN45:BV45" si="195">SUM(BN46:BN53)</f>
        <v>868038.12999999989</v>
      </c>
      <c r="BO45" s="31">
        <f t="shared" si="195"/>
        <v>0</v>
      </c>
      <c r="BP45" s="31">
        <f t="shared" si="195"/>
        <v>0</v>
      </c>
      <c r="BQ45" s="31">
        <f t="shared" si="195"/>
        <v>0</v>
      </c>
      <c r="BR45" s="31">
        <f t="shared" si="195"/>
        <v>0</v>
      </c>
      <c r="BS45" s="31">
        <f t="shared" si="195"/>
        <v>0</v>
      </c>
      <c r="BT45" s="31">
        <f t="shared" si="195"/>
        <v>0</v>
      </c>
      <c r="BU45" s="31">
        <f t="shared" si="195"/>
        <v>908073.41999999993</v>
      </c>
      <c r="BV45" s="32">
        <f t="shared" si="195"/>
        <v>868038.12999999989</v>
      </c>
      <c r="BW45" s="31">
        <f>SUM(BW46:BW53)</f>
        <v>1013843.0299999998</v>
      </c>
      <c r="BX45" s="31">
        <f t="shared" ref="BX45:CA45" si="196">SUM(BX46:BX53)</f>
        <v>0</v>
      </c>
      <c r="BY45" s="31">
        <f t="shared" si="196"/>
        <v>0</v>
      </c>
      <c r="BZ45" s="31">
        <f t="shared" si="196"/>
        <v>72900</v>
      </c>
      <c r="CA45" s="31">
        <f t="shared" si="196"/>
        <v>940943.0299999998</v>
      </c>
      <c r="CB45" s="31">
        <f t="shared" ref="CB45:CP45" si="197">SUM(CB46:CB53)</f>
        <v>943006.8600000001</v>
      </c>
      <c r="CC45" s="31">
        <f t="shared" si="197"/>
        <v>0</v>
      </c>
      <c r="CD45" s="31">
        <f t="shared" si="197"/>
        <v>0</v>
      </c>
      <c r="CE45" s="31">
        <f t="shared" si="197"/>
        <v>0</v>
      </c>
      <c r="CF45" s="31">
        <f t="shared" si="197"/>
        <v>943006.8600000001</v>
      </c>
      <c r="CG45" s="31">
        <f t="shared" si="197"/>
        <v>933787.66</v>
      </c>
      <c r="CH45" s="31">
        <f t="shared" si="197"/>
        <v>0</v>
      </c>
      <c r="CI45" s="31">
        <f t="shared" si="197"/>
        <v>0</v>
      </c>
      <c r="CJ45" s="31">
        <f t="shared" si="197"/>
        <v>0</v>
      </c>
      <c r="CK45" s="31">
        <f t="shared" si="197"/>
        <v>933787.66</v>
      </c>
      <c r="CL45" s="31">
        <f t="shared" si="197"/>
        <v>933787.66</v>
      </c>
      <c r="CM45" s="31">
        <f t="shared" si="197"/>
        <v>0</v>
      </c>
      <c r="CN45" s="31">
        <f t="shared" si="197"/>
        <v>0</v>
      </c>
      <c r="CO45" s="31">
        <f t="shared" si="197"/>
        <v>0</v>
      </c>
      <c r="CP45" s="32">
        <f t="shared" si="197"/>
        <v>933787.66</v>
      </c>
      <c r="CQ45" s="33">
        <v>912119.29999999993</v>
      </c>
      <c r="CR45" s="34">
        <v>0</v>
      </c>
      <c r="CS45" s="34">
        <v>0</v>
      </c>
      <c r="CT45" s="34">
        <v>0</v>
      </c>
      <c r="CU45" s="35">
        <v>912119.29999999993</v>
      </c>
      <c r="CV45" s="30">
        <f>SUM(CV46:CV53)</f>
        <v>1030541.8899999999</v>
      </c>
      <c r="CW45" s="31">
        <f t="shared" ref="CW45:DE45" si="198">SUM(CW46:CW53)</f>
        <v>0</v>
      </c>
      <c r="CX45" s="31">
        <f t="shared" si="198"/>
        <v>0</v>
      </c>
      <c r="CY45" s="31">
        <f t="shared" si="198"/>
        <v>0</v>
      </c>
      <c r="CZ45" s="32">
        <f t="shared" si="198"/>
        <v>1030541.8899999999</v>
      </c>
      <c r="DA45" s="30">
        <f t="shared" si="198"/>
        <v>944386.67</v>
      </c>
      <c r="DB45" s="31">
        <f t="shared" si="198"/>
        <v>0</v>
      </c>
      <c r="DC45" s="31">
        <f t="shared" si="198"/>
        <v>0</v>
      </c>
      <c r="DD45" s="31">
        <f t="shared" si="198"/>
        <v>0</v>
      </c>
      <c r="DE45" s="32">
        <f t="shared" si="198"/>
        <v>944386.67</v>
      </c>
      <c r="DF45" s="33">
        <v>908073.41999999993</v>
      </c>
      <c r="DG45" s="34">
        <v>0</v>
      </c>
      <c r="DH45" s="34">
        <v>0</v>
      </c>
      <c r="DI45" s="31">
        <f t="shared" ref="DI45" si="199">SUM(DI46:DI53)</f>
        <v>0</v>
      </c>
      <c r="DJ45" s="34">
        <v>908073.41999999993</v>
      </c>
      <c r="DK45" s="31">
        <f>SUM(DK46:DK53)</f>
        <v>1013843.0299999998</v>
      </c>
      <c r="DL45" s="31">
        <f t="shared" ref="DL45:DT45" si="200">SUM(DL46:DL53)</f>
        <v>0</v>
      </c>
      <c r="DM45" s="31">
        <f t="shared" si="200"/>
        <v>0</v>
      </c>
      <c r="DN45" s="31">
        <f t="shared" si="200"/>
        <v>72900</v>
      </c>
      <c r="DO45" s="31">
        <f t="shared" si="200"/>
        <v>940943.0299999998</v>
      </c>
      <c r="DP45" s="31">
        <f t="shared" si="200"/>
        <v>943006.8600000001</v>
      </c>
      <c r="DQ45" s="31">
        <f t="shared" si="200"/>
        <v>0</v>
      </c>
      <c r="DR45" s="31">
        <f t="shared" si="200"/>
        <v>0</v>
      </c>
      <c r="DS45" s="31">
        <f t="shared" si="200"/>
        <v>0</v>
      </c>
      <c r="DT45" s="31">
        <f t="shared" si="200"/>
        <v>943006.8600000001</v>
      </c>
      <c r="DU45" s="36" t="s">
        <v>0</v>
      </c>
    </row>
    <row r="46" spans="1:125" ht="315" x14ac:dyDescent="0.2">
      <c r="A46" s="74" t="s">
        <v>258</v>
      </c>
      <c r="B46" s="74" t="s">
        <v>249</v>
      </c>
      <c r="C46" s="75" t="s">
        <v>259</v>
      </c>
      <c r="D46" s="40" t="s">
        <v>444</v>
      </c>
      <c r="E46" s="40" t="s">
        <v>397</v>
      </c>
      <c r="F46" s="40" t="s">
        <v>426</v>
      </c>
      <c r="G46" s="40" t="s">
        <v>0</v>
      </c>
      <c r="H46" s="40" t="s">
        <v>0</v>
      </c>
      <c r="I46" s="40" t="s">
        <v>0</v>
      </c>
      <c r="J46" s="13" t="s">
        <v>0</v>
      </c>
      <c r="K46" s="40" t="s">
        <v>0</v>
      </c>
      <c r="L46" s="40" t="s">
        <v>0</v>
      </c>
      <c r="M46" s="40" t="s">
        <v>0</v>
      </c>
      <c r="N46" s="40" t="s">
        <v>0</v>
      </c>
      <c r="O46" s="40" t="s">
        <v>0</v>
      </c>
      <c r="P46" s="40" t="s">
        <v>0</v>
      </c>
      <c r="Q46" s="13" t="s">
        <v>0</v>
      </c>
      <c r="R46" s="40" t="s">
        <v>0</v>
      </c>
      <c r="S46" s="40" t="s">
        <v>0</v>
      </c>
      <c r="T46" s="40" t="s">
        <v>0</v>
      </c>
      <c r="U46" s="40" t="s">
        <v>0</v>
      </c>
      <c r="V46" s="40" t="s">
        <v>0</v>
      </c>
      <c r="W46" s="40" t="s">
        <v>0</v>
      </c>
      <c r="X46" s="40" t="s">
        <v>445</v>
      </c>
      <c r="Y46" s="40" t="s">
        <v>0</v>
      </c>
      <c r="Z46" s="40" t="s">
        <v>0</v>
      </c>
      <c r="AA46" s="40" t="s">
        <v>0</v>
      </c>
      <c r="AB46" s="40" t="s">
        <v>0</v>
      </c>
      <c r="AC46" s="40" t="s">
        <v>0</v>
      </c>
      <c r="AD46" s="40" t="s">
        <v>496</v>
      </c>
      <c r="AE46" s="40"/>
      <c r="AF46" s="40"/>
      <c r="AG46" s="13" t="s">
        <v>46</v>
      </c>
      <c r="AH46" s="76" t="s">
        <v>260</v>
      </c>
      <c r="AI46" s="67">
        <v>88002.06</v>
      </c>
      <c r="AJ46" s="66">
        <f>72433.89+0.01</f>
        <v>72433.899999999994</v>
      </c>
      <c r="AK46" s="66">
        <v>0</v>
      </c>
      <c r="AL46" s="77">
        <v>0</v>
      </c>
      <c r="AM46" s="66">
        <v>0</v>
      </c>
      <c r="AN46" s="66">
        <v>0</v>
      </c>
      <c r="AO46" s="66">
        <v>0</v>
      </c>
      <c r="AP46" s="66">
        <v>0</v>
      </c>
      <c r="AQ46" s="66">
        <v>88002.06</v>
      </c>
      <c r="AR46" s="66">
        <v>72433.89</v>
      </c>
      <c r="AS46" s="66">
        <v>21064.3</v>
      </c>
      <c r="AT46" s="66">
        <v>0</v>
      </c>
      <c r="AU46" s="66">
        <v>0</v>
      </c>
      <c r="AV46" s="66">
        <v>0</v>
      </c>
      <c r="AW46" s="66">
        <v>21064.3</v>
      </c>
      <c r="AX46" s="66">
        <f>SUM(AY46:BB46)</f>
        <v>29638.2</v>
      </c>
      <c r="AY46" s="66">
        <v>0</v>
      </c>
      <c r="AZ46" s="66">
        <v>0</v>
      </c>
      <c r="BA46" s="66">
        <v>0</v>
      </c>
      <c r="BB46" s="66">
        <f>29638.2</f>
        <v>29638.2</v>
      </c>
      <c r="BC46" s="66">
        <f>29638.2</f>
        <v>29638.2</v>
      </c>
      <c r="BD46" s="66">
        <v>0</v>
      </c>
      <c r="BE46" s="66">
        <v>0</v>
      </c>
      <c r="BF46" s="66">
        <v>0</v>
      </c>
      <c r="BG46" s="66">
        <f>29638.2</f>
        <v>29638.2</v>
      </c>
      <c r="BH46" s="66">
        <f>29638.2</f>
        <v>29638.2</v>
      </c>
      <c r="BI46" s="66">
        <v>0</v>
      </c>
      <c r="BJ46" s="66">
        <v>0</v>
      </c>
      <c r="BK46" s="66">
        <v>0</v>
      </c>
      <c r="BL46" s="68">
        <f t="shared" ref="BL46" si="201">BH46</f>
        <v>29638.2</v>
      </c>
      <c r="BM46" s="67">
        <f>BU46</f>
        <v>86949.459999999992</v>
      </c>
      <c r="BN46" s="66">
        <f>BV46</f>
        <v>71940.069999999992</v>
      </c>
      <c r="BO46" s="66">
        <v>0</v>
      </c>
      <c r="BP46" s="77">
        <v>0</v>
      </c>
      <c r="BQ46" s="66">
        <v>0</v>
      </c>
      <c r="BR46" s="66">
        <v>0</v>
      </c>
      <c r="BS46" s="66">
        <v>0</v>
      </c>
      <c r="BT46" s="66">
        <v>0</v>
      </c>
      <c r="BU46" s="66">
        <f>88002.06-352.6-700</f>
        <v>86949.459999999992</v>
      </c>
      <c r="BV46" s="68">
        <f>72433.89-351.27-142.55</f>
        <v>71940.069999999992</v>
      </c>
      <c r="BW46" s="66">
        <f>SUBTOTAL(9,BX46:CA46)</f>
        <v>103482.23</v>
      </c>
      <c r="BX46" s="66">
        <v>0</v>
      </c>
      <c r="BY46" s="66">
        <v>0</v>
      </c>
      <c r="BZ46" s="66">
        <v>0</v>
      </c>
      <c r="CA46" s="66">
        <f>106224.01-2741.78</f>
        <v>103482.23</v>
      </c>
      <c r="CB46" s="66">
        <f>SUBTOTAL(9,CC46:CF46)</f>
        <v>102909.08</v>
      </c>
      <c r="CC46" s="66">
        <v>0</v>
      </c>
      <c r="CD46" s="66">
        <v>0</v>
      </c>
      <c r="CE46" s="66">
        <v>0</v>
      </c>
      <c r="CF46" s="66">
        <f>103619.08-660-50</f>
        <v>102909.08</v>
      </c>
      <c r="CG46" s="66">
        <f>SUBTOTAL(9,CH46:CK46)</f>
        <v>103603.08</v>
      </c>
      <c r="CH46" s="66">
        <v>0</v>
      </c>
      <c r="CI46" s="66">
        <v>0</v>
      </c>
      <c r="CJ46" s="66">
        <v>0</v>
      </c>
      <c r="CK46" s="66">
        <f>104313.08-660-50</f>
        <v>103603.08</v>
      </c>
      <c r="CL46" s="66">
        <f>SUBTOTAL(9,CM46:CP46)</f>
        <v>103603.08</v>
      </c>
      <c r="CM46" s="66">
        <v>0</v>
      </c>
      <c r="CN46" s="66">
        <v>0</v>
      </c>
      <c r="CO46" s="66">
        <v>0</v>
      </c>
      <c r="CP46" s="66">
        <f>104313.08-660-50</f>
        <v>103603.08</v>
      </c>
      <c r="CQ46" s="80">
        <v>88002.06</v>
      </c>
      <c r="CR46" s="78">
        <v>0</v>
      </c>
      <c r="CS46" s="78">
        <v>0</v>
      </c>
      <c r="CT46" s="78">
        <v>0</v>
      </c>
      <c r="CU46" s="79">
        <v>88002.06</v>
      </c>
      <c r="CV46" s="67">
        <v>106224.01</v>
      </c>
      <c r="CW46" s="66">
        <v>0</v>
      </c>
      <c r="CX46" s="66">
        <v>0</v>
      </c>
      <c r="CY46" s="66">
        <v>0</v>
      </c>
      <c r="CZ46" s="68">
        <f t="shared" ref="CZ46:CZ48" si="202">CV46</f>
        <v>106224.01</v>
      </c>
      <c r="DA46" s="67">
        <v>103619.08</v>
      </c>
      <c r="DB46" s="66">
        <v>0</v>
      </c>
      <c r="DC46" s="66">
        <v>0</v>
      </c>
      <c r="DD46" s="66">
        <v>0</v>
      </c>
      <c r="DE46" s="68">
        <f t="shared" ref="DE46" si="203">DA46</f>
        <v>103619.08</v>
      </c>
      <c r="DF46" s="80">
        <v>86949.459999999992</v>
      </c>
      <c r="DG46" s="78">
        <v>0</v>
      </c>
      <c r="DH46" s="78">
        <v>0</v>
      </c>
      <c r="DI46" s="66">
        <v>0</v>
      </c>
      <c r="DJ46" s="78">
        <v>86949.459999999992</v>
      </c>
      <c r="DK46" s="66">
        <f>SUBTOTAL(9,DL46:DO46)</f>
        <v>103482.23</v>
      </c>
      <c r="DL46" s="66">
        <v>0</v>
      </c>
      <c r="DM46" s="66">
        <v>0</v>
      </c>
      <c r="DN46" s="66">
        <v>0</v>
      </c>
      <c r="DO46" s="66">
        <f>106224.01-2741.78</f>
        <v>103482.23</v>
      </c>
      <c r="DP46" s="66">
        <f>SUBTOTAL(9,DQ46:DT46)</f>
        <v>102909.08</v>
      </c>
      <c r="DQ46" s="66">
        <v>0</v>
      </c>
      <c r="DR46" s="66">
        <v>0</v>
      </c>
      <c r="DS46" s="66">
        <v>0</v>
      </c>
      <c r="DT46" s="66">
        <f>103619.08-660-50</f>
        <v>102909.08</v>
      </c>
      <c r="DU46" s="51" t="s">
        <v>190</v>
      </c>
    </row>
    <row r="47" spans="1:125" ht="405" x14ac:dyDescent="0.2">
      <c r="A47" s="74" t="s">
        <v>261</v>
      </c>
      <c r="B47" s="74" t="s">
        <v>253</v>
      </c>
      <c r="C47" s="75" t="s">
        <v>262</v>
      </c>
      <c r="D47" s="40" t="s">
        <v>444</v>
      </c>
      <c r="E47" s="40" t="s">
        <v>397</v>
      </c>
      <c r="F47" s="40" t="s">
        <v>426</v>
      </c>
      <c r="G47" s="40" t="s">
        <v>0</v>
      </c>
      <c r="H47" s="40" t="s">
        <v>0</v>
      </c>
      <c r="I47" s="40" t="s">
        <v>0</v>
      </c>
      <c r="J47" s="13" t="s">
        <v>0</v>
      </c>
      <c r="K47" s="40" t="s">
        <v>0</v>
      </c>
      <c r="L47" s="40" t="s">
        <v>0</v>
      </c>
      <c r="M47" s="40" t="s">
        <v>0</v>
      </c>
      <c r="N47" s="40" t="s">
        <v>0</v>
      </c>
      <c r="O47" s="40" t="s">
        <v>0</v>
      </c>
      <c r="P47" s="40" t="s">
        <v>0</v>
      </c>
      <c r="Q47" s="13" t="s">
        <v>0</v>
      </c>
      <c r="R47" s="40" t="s">
        <v>0</v>
      </c>
      <c r="S47" s="40" t="s">
        <v>0</v>
      </c>
      <c r="T47" s="40" t="s">
        <v>0</v>
      </c>
      <c r="U47" s="40" t="s">
        <v>0</v>
      </c>
      <c r="V47" s="40" t="s">
        <v>0</v>
      </c>
      <c r="W47" s="40" t="s">
        <v>0</v>
      </c>
      <c r="X47" s="40" t="s">
        <v>0</v>
      </c>
      <c r="Y47" s="40" t="s">
        <v>0</v>
      </c>
      <c r="Z47" s="40" t="s">
        <v>0</v>
      </c>
      <c r="AA47" s="40" t="s">
        <v>0</v>
      </c>
      <c r="AB47" s="40" t="s">
        <v>0</v>
      </c>
      <c r="AC47" s="40" t="s">
        <v>0</v>
      </c>
      <c r="AD47" s="40" t="s">
        <v>497</v>
      </c>
      <c r="AE47" s="40"/>
      <c r="AF47" s="40"/>
      <c r="AG47" s="13" t="s">
        <v>46</v>
      </c>
      <c r="AH47" s="76" t="s">
        <v>260</v>
      </c>
      <c r="AI47" s="67">
        <v>266376.46999999997</v>
      </c>
      <c r="AJ47" s="66">
        <v>261419.41</v>
      </c>
      <c r="AK47" s="66">
        <v>0</v>
      </c>
      <c r="AL47" s="77">
        <v>0</v>
      </c>
      <c r="AM47" s="66">
        <v>0</v>
      </c>
      <c r="AN47" s="66">
        <v>0</v>
      </c>
      <c r="AO47" s="66">
        <v>0</v>
      </c>
      <c r="AP47" s="66">
        <v>0</v>
      </c>
      <c r="AQ47" s="66">
        <v>266376.46999999997</v>
      </c>
      <c r="AR47" s="66">
        <v>261419.41</v>
      </c>
      <c r="AS47" s="78">
        <f>AW47</f>
        <v>361745.99</v>
      </c>
      <c r="AT47" s="66">
        <v>0</v>
      </c>
      <c r="AU47" s="66">
        <v>0</v>
      </c>
      <c r="AV47" s="66">
        <v>0</v>
      </c>
      <c r="AW47" s="66">
        <v>361745.99</v>
      </c>
      <c r="AX47" s="78">
        <f>SUM(AY47:BB47)</f>
        <v>376395.3</v>
      </c>
      <c r="AY47" s="66">
        <v>0</v>
      </c>
      <c r="AZ47" s="66">
        <v>0</v>
      </c>
      <c r="BA47" s="66">
        <v>0</v>
      </c>
      <c r="BB47" s="66">
        <v>376395.3</v>
      </c>
      <c r="BC47" s="78">
        <f>BG47</f>
        <v>376395.3</v>
      </c>
      <c r="BD47" s="66">
        <v>0</v>
      </c>
      <c r="BE47" s="66">
        <v>0</v>
      </c>
      <c r="BF47" s="66">
        <v>0</v>
      </c>
      <c r="BG47" s="66">
        <v>376395.3</v>
      </c>
      <c r="BH47" s="78">
        <f>BL47</f>
        <v>376395.3</v>
      </c>
      <c r="BI47" s="66">
        <v>0</v>
      </c>
      <c r="BJ47" s="66">
        <v>0</v>
      </c>
      <c r="BK47" s="66">
        <v>0</v>
      </c>
      <c r="BL47" s="66">
        <v>376395.3</v>
      </c>
      <c r="BM47" s="67">
        <v>266376.46999999997</v>
      </c>
      <c r="BN47" s="66">
        <v>261419.41</v>
      </c>
      <c r="BO47" s="66">
        <v>0</v>
      </c>
      <c r="BP47" s="77">
        <v>0</v>
      </c>
      <c r="BQ47" s="66">
        <v>0</v>
      </c>
      <c r="BR47" s="66">
        <v>0</v>
      </c>
      <c r="BS47" s="66">
        <v>0</v>
      </c>
      <c r="BT47" s="66">
        <v>0</v>
      </c>
      <c r="BU47" s="66">
        <v>266376.46999999997</v>
      </c>
      <c r="BV47" s="68">
        <v>261419.41</v>
      </c>
      <c r="BW47" s="78">
        <v>269072.87</v>
      </c>
      <c r="BX47" s="66">
        <v>0</v>
      </c>
      <c r="BY47" s="66">
        <v>0</v>
      </c>
      <c r="BZ47" s="66">
        <v>0</v>
      </c>
      <c r="CA47" s="66">
        <f t="shared" ref="CA47:CA48" si="204">BW47</f>
        <v>269072.87</v>
      </c>
      <c r="CB47" s="78">
        <v>269072.87</v>
      </c>
      <c r="CC47" s="66">
        <v>0</v>
      </c>
      <c r="CD47" s="66">
        <v>0</v>
      </c>
      <c r="CE47" s="66">
        <v>0</v>
      </c>
      <c r="CF47" s="66">
        <f>CB47</f>
        <v>269072.87</v>
      </c>
      <c r="CG47" s="78">
        <v>269072.87</v>
      </c>
      <c r="CH47" s="66">
        <v>0</v>
      </c>
      <c r="CI47" s="66">
        <v>0</v>
      </c>
      <c r="CJ47" s="66">
        <v>0</v>
      </c>
      <c r="CK47" s="66">
        <f>CG47</f>
        <v>269072.87</v>
      </c>
      <c r="CL47" s="78">
        <v>269072.87</v>
      </c>
      <c r="CM47" s="66">
        <v>0</v>
      </c>
      <c r="CN47" s="66">
        <v>0</v>
      </c>
      <c r="CO47" s="66">
        <v>0</v>
      </c>
      <c r="CP47" s="68">
        <f>CL47</f>
        <v>269072.87</v>
      </c>
      <c r="CQ47" s="80">
        <v>266376.46999999997</v>
      </c>
      <c r="CR47" s="78">
        <v>0</v>
      </c>
      <c r="CS47" s="78">
        <v>0</v>
      </c>
      <c r="CT47" s="78">
        <v>0</v>
      </c>
      <c r="CU47" s="79">
        <v>266376.46999999997</v>
      </c>
      <c r="CV47" s="80">
        <v>269072.87</v>
      </c>
      <c r="CW47" s="66">
        <v>0</v>
      </c>
      <c r="CX47" s="66">
        <v>0</v>
      </c>
      <c r="CY47" s="66">
        <v>0</v>
      </c>
      <c r="CZ47" s="68">
        <f t="shared" si="202"/>
        <v>269072.87</v>
      </c>
      <c r="DA47" s="80">
        <v>269072.87</v>
      </c>
      <c r="DB47" s="66">
        <v>0</v>
      </c>
      <c r="DC47" s="66">
        <v>0</v>
      </c>
      <c r="DD47" s="66">
        <v>0</v>
      </c>
      <c r="DE47" s="68">
        <f>DA47</f>
        <v>269072.87</v>
      </c>
      <c r="DF47" s="80">
        <v>266376.46999999997</v>
      </c>
      <c r="DG47" s="78">
        <v>0</v>
      </c>
      <c r="DH47" s="78">
        <v>0</v>
      </c>
      <c r="DI47" s="66">
        <v>0</v>
      </c>
      <c r="DJ47" s="78">
        <v>266376.46999999997</v>
      </c>
      <c r="DK47" s="78">
        <v>269072.87</v>
      </c>
      <c r="DL47" s="66">
        <v>0</v>
      </c>
      <c r="DM47" s="66">
        <v>0</v>
      </c>
      <c r="DN47" s="66">
        <v>0</v>
      </c>
      <c r="DO47" s="66">
        <f t="shared" ref="DO47:DO48" si="205">DK47</f>
        <v>269072.87</v>
      </c>
      <c r="DP47" s="78">
        <v>269072.87</v>
      </c>
      <c r="DQ47" s="66">
        <v>0</v>
      </c>
      <c r="DR47" s="66">
        <v>0</v>
      </c>
      <c r="DS47" s="66">
        <v>0</v>
      </c>
      <c r="DT47" s="66">
        <f>DP47</f>
        <v>269072.87</v>
      </c>
      <c r="DU47" s="51" t="s">
        <v>190</v>
      </c>
    </row>
    <row r="48" spans="1:125" customFormat="1" ht="393.75" x14ac:dyDescent="0.2">
      <c r="A48" s="38" t="s">
        <v>263</v>
      </c>
      <c r="B48" s="38" t="s">
        <v>264</v>
      </c>
      <c r="C48" s="39" t="s">
        <v>265</v>
      </c>
      <c r="D48" s="40" t="s">
        <v>427</v>
      </c>
      <c r="E48" s="40" t="s">
        <v>397</v>
      </c>
      <c r="F48" s="40" t="s">
        <v>426</v>
      </c>
      <c r="G48" s="40" t="s">
        <v>0</v>
      </c>
      <c r="H48" s="40" t="s">
        <v>0</v>
      </c>
      <c r="I48" s="40" t="s">
        <v>0</v>
      </c>
      <c r="J48" s="13" t="s">
        <v>0</v>
      </c>
      <c r="K48" s="40" t="s">
        <v>0</v>
      </c>
      <c r="L48" s="40" t="s">
        <v>0</v>
      </c>
      <c r="M48" s="40" t="s">
        <v>0</v>
      </c>
      <c r="N48" s="40" t="s">
        <v>0</v>
      </c>
      <c r="O48" s="40" t="s">
        <v>0</v>
      </c>
      <c r="P48" s="40" t="s">
        <v>0</v>
      </c>
      <c r="Q48" s="13" t="s">
        <v>0</v>
      </c>
      <c r="R48" s="40" t="s">
        <v>0</v>
      </c>
      <c r="S48" s="40" t="s">
        <v>0</v>
      </c>
      <c r="T48" s="40" t="s">
        <v>0</v>
      </c>
      <c r="U48" s="40" t="s">
        <v>0</v>
      </c>
      <c r="V48" s="40" t="s">
        <v>0</v>
      </c>
      <c r="W48" s="40" t="s">
        <v>0</v>
      </c>
      <c r="X48" s="40" t="s">
        <v>0</v>
      </c>
      <c r="Y48" s="40" t="s">
        <v>0</v>
      </c>
      <c r="Z48" s="40" t="s">
        <v>0</v>
      </c>
      <c r="AA48" s="40" t="s">
        <v>0</v>
      </c>
      <c r="AB48" s="40" t="s">
        <v>0</v>
      </c>
      <c r="AC48" s="40" t="s">
        <v>0</v>
      </c>
      <c r="AD48" s="40" t="s">
        <v>498</v>
      </c>
      <c r="AE48" s="41"/>
      <c r="AF48" s="41"/>
      <c r="AG48" s="42" t="s">
        <v>46</v>
      </c>
      <c r="AH48" s="43" t="s">
        <v>266</v>
      </c>
      <c r="AI48" s="44">
        <v>40276.06</v>
      </c>
      <c r="AJ48" s="45">
        <v>34328.050000000003</v>
      </c>
      <c r="AK48" s="45">
        <v>0</v>
      </c>
      <c r="AL48" s="52">
        <v>0</v>
      </c>
      <c r="AM48" s="45">
        <v>0</v>
      </c>
      <c r="AN48" s="45">
        <v>0</v>
      </c>
      <c r="AO48" s="45">
        <v>0</v>
      </c>
      <c r="AP48" s="45">
        <v>0</v>
      </c>
      <c r="AQ48" s="45">
        <v>40276.06</v>
      </c>
      <c r="AR48" s="45">
        <v>34328.050000000003</v>
      </c>
      <c r="AS48" s="45">
        <f>AW48</f>
        <v>38268.6</v>
      </c>
      <c r="AT48" s="45">
        <v>0</v>
      </c>
      <c r="AU48" s="45">
        <v>0</v>
      </c>
      <c r="AV48" s="45">
        <v>0</v>
      </c>
      <c r="AW48" s="45">
        <f>39315-1046.4</f>
        <v>38268.6</v>
      </c>
      <c r="AX48" s="45">
        <f>SUM(AY48:BB48)</f>
        <v>33216</v>
      </c>
      <c r="AY48" s="45">
        <v>0</v>
      </c>
      <c r="AZ48" s="45">
        <v>0</v>
      </c>
      <c r="BA48" s="45">
        <v>0</v>
      </c>
      <c r="BB48" s="45">
        <f>13862.7+19353.3</f>
        <v>33216</v>
      </c>
      <c r="BC48" s="45">
        <f>BG48</f>
        <v>33216</v>
      </c>
      <c r="BD48" s="45">
        <v>0</v>
      </c>
      <c r="BE48" s="45">
        <v>0</v>
      </c>
      <c r="BF48" s="45">
        <v>0</v>
      </c>
      <c r="BG48" s="45">
        <f>13862.7+19353.3</f>
        <v>33216</v>
      </c>
      <c r="BH48" s="45">
        <f>BL48</f>
        <v>33216</v>
      </c>
      <c r="BI48" s="45">
        <v>0</v>
      </c>
      <c r="BJ48" s="45">
        <v>0</v>
      </c>
      <c r="BK48" s="45">
        <v>0</v>
      </c>
      <c r="BL48" s="45">
        <f>13862.7+19353.3</f>
        <v>33216</v>
      </c>
      <c r="BM48" s="44">
        <v>40276.06</v>
      </c>
      <c r="BN48" s="83">
        <v>34328.050000000003</v>
      </c>
      <c r="BO48" s="83">
        <v>0</v>
      </c>
      <c r="BP48" s="52">
        <v>0</v>
      </c>
      <c r="BQ48" s="45">
        <v>0</v>
      </c>
      <c r="BR48" s="45">
        <v>0</v>
      </c>
      <c r="BS48" s="45">
        <v>0</v>
      </c>
      <c r="BT48" s="45">
        <v>0</v>
      </c>
      <c r="BU48" s="45">
        <v>40276.06</v>
      </c>
      <c r="BV48" s="49">
        <v>34328.050000000003</v>
      </c>
      <c r="BW48" s="45">
        <v>42525.94</v>
      </c>
      <c r="BX48" s="45">
        <v>0</v>
      </c>
      <c r="BY48" s="45">
        <v>0</v>
      </c>
      <c r="BZ48" s="45">
        <v>0</v>
      </c>
      <c r="CA48" s="45">
        <f t="shared" si="204"/>
        <v>42525.94</v>
      </c>
      <c r="CB48" s="45">
        <v>41638.86</v>
      </c>
      <c r="CC48" s="45">
        <v>0</v>
      </c>
      <c r="CD48" s="45">
        <v>0</v>
      </c>
      <c r="CE48" s="45">
        <v>0</v>
      </c>
      <c r="CF48" s="45">
        <f t="shared" ref="CF48" si="206">CB48</f>
        <v>41638.86</v>
      </c>
      <c r="CG48" s="45">
        <v>41638.86</v>
      </c>
      <c r="CH48" s="45">
        <v>0</v>
      </c>
      <c r="CI48" s="45">
        <v>0</v>
      </c>
      <c r="CJ48" s="45">
        <v>0</v>
      </c>
      <c r="CK48" s="45">
        <f t="shared" ref="CK48" si="207">CG48</f>
        <v>41638.86</v>
      </c>
      <c r="CL48" s="45">
        <v>41638.86</v>
      </c>
      <c r="CM48" s="45">
        <v>0</v>
      </c>
      <c r="CN48" s="45">
        <v>0</v>
      </c>
      <c r="CO48" s="45">
        <v>0</v>
      </c>
      <c r="CP48" s="49">
        <f t="shared" ref="CP48" si="208">CL48</f>
        <v>41638.86</v>
      </c>
      <c r="CQ48" s="48">
        <v>40276.06</v>
      </c>
      <c r="CR48" s="46">
        <v>0</v>
      </c>
      <c r="CS48" s="46">
        <v>0</v>
      </c>
      <c r="CT48" s="46">
        <v>0</v>
      </c>
      <c r="CU48" s="47">
        <v>40276.06</v>
      </c>
      <c r="CV48" s="44">
        <v>42525.94</v>
      </c>
      <c r="CW48" s="45">
        <v>0</v>
      </c>
      <c r="CX48" s="45">
        <v>0</v>
      </c>
      <c r="CY48" s="45">
        <v>0</v>
      </c>
      <c r="CZ48" s="49">
        <f t="shared" si="202"/>
        <v>42525.94</v>
      </c>
      <c r="DA48" s="44">
        <v>41638.86</v>
      </c>
      <c r="DB48" s="45">
        <v>0</v>
      </c>
      <c r="DC48" s="45">
        <v>0</v>
      </c>
      <c r="DD48" s="45">
        <v>0</v>
      </c>
      <c r="DE48" s="49">
        <f t="shared" ref="DE48" si="209">DA48</f>
        <v>41638.86</v>
      </c>
      <c r="DF48" s="48">
        <v>40276.06</v>
      </c>
      <c r="DG48" s="46">
        <v>0</v>
      </c>
      <c r="DH48" s="46">
        <v>0</v>
      </c>
      <c r="DI48" s="45">
        <v>0</v>
      </c>
      <c r="DJ48" s="46">
        <v>40276.06</v>
      </c>
      <c r="DK48" s="45">
        <v>42525.94</v>
      </c>
      <c r="DL48" s="45">
        <v>0</v>
      </c>
      <c r="DM48" s="45">
        <v>0</v>
      </c>
      <c r="DN48" s="45">
        <v>0</v>
      </c>
      <c r="DO48" s="45">
        <f t="shared" si="205"/>
        <v>42525.94</v>
      </c>
      <c r="DP48" s="45">
        <v>41638.86</v>
      </c>
      <c r="DQ48" s="45">
        <v>0</v>
      </c>
      <c r="DR48" s="45">
        <v>0</v>
      </c>
      <c r="DS48" s="45">
        <v>0</v>
      </c>
      <c r="DT48" s="45">
        <f t="shared" ref="DT48" si="210">DP48</f>
        <v>41638.86</v>
      </c>
      <c r="DU48" s="50" t="s">
        <v>190</v>
      </c>
    </row>
    <row r="49" spans="1:125" customFormat="1" ht="409.5" x14ac:dyDescent="0.2">
      <c r="A49" s="38" t="s">
        <v>267</v>
      </c>
      <c r="B49" s="38" t="s">
        <v>268</v>
      </c>
      <c r="C49" s="39" t="s">
        <v>269</v>
      </c>
      <c r="D49" s="40" t="s">
        <v>446</v>
      </c>
      <c r="E49" s="40" t="s">
        <v>419</v>
      </c>
      <c r="F49" s="40" t="s">
        <v>447</v>
      </c>
      <c r="G49" s="40"/>
      <c r="H49" s="40"/>
      <c r="I49" s="40"/>
      <c r="J49" s="13"/>
      <c r="K49" s="40"/>
      <c r="L49" s="40"/>
      <c r="M49" s="40"/>
      <c r="N49" s="40"/>
      <c r="O49" s="40"/>
      <c r="P49" s="40"/>
      <c r="Q49" s="13"/>
      <c r="R49" s="40" t="s">
        <v>0</v>
      </c>
      <c r="S49" s="40" t="s">
        <v>0</v>
      </c>
      <c r="T49" s="40" t="s">
        <v>0</v>
      </c>
      <c r="U49" s="40" t="s">
        <v>0</v>
      </c>
      <c r="V49" s="40" t="s">
        <v>0</v>
      </c>
      <c r="W49" s="40" t="s">
        <v>0</v>
      </c>
      <c r="X49" s="40"/>
      <c r="Y49" s="40"/>
      <c r="Z49" s="40"/>
      <c r="AA49" s="40" t="s">
        <v>448</v>
      </c>
      <c r="AB49" s="40" t="s">
        <v>397</v>
      </c>
      <c r="AC49" s="40" t="s">
        <v>449</v>
      </c>
      <c r="AD49" s="40" t="s">
        <v>499</v>
      </c>
      <c r="AE49" s="41"/>
      <c r="AF49" s="41"/>
      <c r="AG49" s="42" t="s">
        <v>46</v>
      </c>
      <c r="AH49" s="43" t="s">
        <v>672</v>
      </c>
      <c r="AI49" s="44">
        <f>62554.25+263278.05+84307.82</f>
        <v>410140.12</v>
      </c>
      <c r="AJ49" s="45">
        <f>61542.31+255627.05+83514.26</f>
        <v>400683.62</v>
      </c>
      <c r="AK49" s="45">
        <v>0</v>
      </c>
      <c r="AL49" s="52">
        <v>0</v>
      </c>
      <c r="AM49" s="45">
        <v>0</v>
      </c>
      <c r="AN49" s="45">
        <v>0</v>
      </c>
      <c r="AO49" s="45">
        <v>0</v>
      </c>
      <c r="AP49" s="45">
        <v>0</v>
      </c>
      <c r="AQ49" s="45">
        <f>AI49</f>
        <v>410140.12</v>
      </c>
      <c r="AR49" s="45">
        <f>AJ49</f>
        <v>400683.62</v>
      </c>
      <c r="AS49" s="45">
        <f>AW49</f>
        <v>425393.1</v>
      </c>
      <c r="AT49" s="45">
        <v>0</v>
      </c>
      <c r="AU49" s="45">
        <v>0</v>
      </c>
      <c r="AV49" s="45">
        <v>0</v>
      </c>
      <c r="AW49" s="45">
        <v>425393.1</v>
      </c>
      <c r="AX49" s="45">
        <f>BB49</f>
        <v>501294.8</v>
      </c>
      <c r="AY49" s="45">
        <v>0</v>
      </c>
      <c r="AZ49" s="45">
        <v>0</v>
      </c>
      <c r="BA49" s="45">
        <v>0</v>
      </c>
      <c r="BB49" s="45">
        <f>106756.5+4992.8+60733.2+4582.4+74304.9+206658.2+54308.3-11041.5</f>
        <v>501294.8</v>
      </c>
      <c r="BC49" s="45">
        <f>BG49</f>
        <v>421409.45</v>
      </c>
      <c r="BD49" s="45">
        <v>0</v>
      </c>
      <c r="BE49" s="45">
        <v>0</v>
      </c>
      <c r="BF49" s="45">
        <v>0</v>
      </c>
      <c r="BG49" s="45">
        <f>63888.23+80550.1+50770.15+169413.65+48787.31+8000.01</f>
        <v>421409.45</v>
      </c>
      <c r="BH49" s="45">
        <f>BL49</f>
        <v>421409.45</v>
      </c>
      <c r="BI49" s="45">
        <v>0</v>
      </c>
      <c r="BJ49" s="45">
        <v>0</v>
      </c>
      <c r="BK49" s="45">
        <v>0</v>
      </c>
      <c r="BL49" s="45">
        <f>63888.23+80550.1+50770.15+169413.65+48787.31+8000.01</f>
        <v>421409.45</v>
      </c>
      <c r="BM49" s="84">
        <f>BU49</f>
        <v>407146.84</v>
      </c>
      <c r="BN49" s="85">
        <f>BV49</f>
        <v>398355.80999999994</v>
      </c>
      <c r="BO49" s="85">
        <v>0</v>
      </c>
      <c r="BP49" s="86">
        <v>0</v>
      </c>
      <c r="BQ49" s="45">
        <v>0</v>
      </c>
      <c r="BR49" s="45">
        <v>0</v>
      </c>
      <c r="BS49" s="45">
        <v>0</v>
      </c>
      <c r="BT49" s="45">
        <v>0</v>
      </c>
      <c r="BU49" s="44">
        <f>62554.25+263278.05+84307.82-150-705-113.63-466.5-85.24-254.79-1111.54-106.58</f>
        <v>407146.84</v>
      </c>
      <c r="BV49" s="45">
        <f>61542.31+255627.05+83514.26-539.58-113.63-466.5-82.02-1019.5-106.58</f>
        <v>398355.80999999994</v>
      </c>
      <c r="BW49" s="45">
        <f>CA49</f>
        <v>433605.12999999995</v>
      </c>
      <c r="BX49" s="45">
        <v>0</v>
      </c>
      <c r="BY49" s="45">
        <v>0</v>
      </c>
      <c r="BZ49" s="45">
        <v>0</v>
      </c>
      <c r="CA49" s="45">
        <f>63888.23+80550.1+50770.15+196420.74+47832.99+8100-211-15-13327.76-403.32</f>
        <v>433605.12999999995</v>
      </c>
      <c r="CB49" s="45">
        <f>CF49</f>
        <v>420737.08</v>
      </c>
      <c r="CC49" s="45">
        <v>0</v>
      </c>
      <c r="CD49" s="45">
        <v>0</v>
      </c>
      <c r="CE49" s="45">
        <v>0</v>
      </c>
      <c r="CF49" s="45">
        <f>63888.23+80550.1+50770.15+169413.65+48784.75+8000.01-211-15-40.49-403.32</f>
        <v>420737.08</v>
      </c>
      <c r="CG49" s="45">
        <f>CK49</f>
        <v>420739.64</v>
      </c>
      <c r="CH49" s="45">
        <v>0</v>
      </c>
      <c r="CI49" s="45">
        <v>0</v>
      </c>
      <c r="CJ49" s="45">
        <v>0</v>
      </c>
      <c r="CK49" s="45">
        <f>63888.23+80550.1+50770.15+169413.65+48787.31+8000.01-403.32-211-15-40.49</f>
        <v>420739.64</v>
      </c>
      <c r="CL49" s="45">
        <f>CP49</f>
        <v>420739.64</v>
      </c>
      <c r="CM49" s="45">
        <v>0</v>
      </c>
      <c r="CN49" s="45">
        <v>0</v>
      </c>
      <c r="CO49" s="45">
        <v>0</v>
      </c>
      <c r="CP49" s="45">
        <f>63888.23+80550.1+50770.15+169413.65+48787.31+8000.01-403.32-211-15-40.49</f>
        <v>420739.64</v>
      </c>
      <c r="CQ49" s="48">
        <v>410140.12</v>
      </c>
      <c r="CR49" s="46">
        <v>0</v>
      </c>
      <c r="CS49" s="46">
        <v>0</v>
      </c>
      <c r="CT49" s="46">
        <v>0</v>
      </c>
      <c r="CU49" s="47">
        <v>410140.12</v>
      </c>
      <c r="CV49" s="44">
        <f>CZ49</f>
        <v>447562.20999999996</v>
      </c>
      <c r="CW49" s="45">
        <v>0</v>
      </c>
      <c r="CX49" s="45">
        <v>0</v>
      </c>
      <c r="CY49" s="45">
        <v>0</v>
      </c>
      <c r="CZ49" s="49">
        <f>63888.23+80550.1+50770.15+196420.74+47832.99+8100</f>
        <v>447562.20999999996</v>
      </c>
      <c r="DA49" s="44">
        <f>DE49</f>
        <v>421406.89</v>
      </c>
      <c r="DB49" s="45">
        <v>0</v>
      </c>
      <c r="DC49" s="45">
        <v>0</v>
      </c>
      <c r="DD49" s="45">
        <v>0</v>
      </c>
      <c r="DE49" s="49">
        <f>63888.23+80550.1+50770.15+169413.65+48784.75+8000.01</f>
        <v>421406.89</v>
      </c>
      <c r="DF49" s="48">
        <v>407146.84</v>
      </c>
      <c r="DG49" s="46">
        <v>0</v>
      </c>
      <c r="DH49" s="46">
        <v>0</v>
      </c>
      <c r="DI49" s="45">
        <v>0</v>
      </c>
      <c r="DJ49" s="48">
        <v>407146.84</v>
      </c>
      <c r="DK49" s="45">
        <f>DO49</f>
        <v>433605.12999999995</v>
      </c>
      <c r="DL49" s="45">
        <v>0</v>
      </c>
      <c r="DM49" s="45">
        <v>0</v>
      </c>
      <c r="DN49" s="45">
        <v>0</v>
      </c>
      <c r="DO49" s="45">
        <f>63888.23+80550.1+50770.15+196420.74+47832.99+8100-211-15-13327.76-403.32</f>
        <v>433605.12999999995</v>
      </c>
      <c r="DP49" s="45">
        <f>DT49</f>
        <v>420737.08</v>
      </c>
      <c r="DQ49" s="45">
        <v>0</v>
      </c>
      <c r="DR49" s="45">
        <v>0</v>
      </c>
      <c r="DS49" s="45">
        <v>0</v>
      </c>
      <c r="DT49" s="45">
        <f>63888.23+80550.1+50770.15+169413.65+48784.75+8000.01-211-15-40.49-403.32</f>
        <v>420737.08</v>
      </c>
      <c r="DU49" s="50" t="s">
        <v>178</v>
      </c>
    </row>
    <row r="50" spans="1:125" customFormat="1" ht="191.25" x14ac:dyDescent="0.2">
      <c r="A50" s="38" t="s">
        <v>270</v>
      </c>
      <c r="B50" s="38" t="s">
        <v>271</v>
      </c>
      <c r="C50" s="39" t="s">
        <v>272</v>
      </c>
      <c r="D50" s="40" t="s">
        <v>450</v>
      </c>
      <c r="E50" s="40" t="s">
        <v>419</v>
      </c>
      <c r="F50" s="40" t="s">
        <v>426</v>
      </c>
      <c r="G50" s="40" t="s">
        <v>0</v>
      </c>
      <c r="H50" s="40" t="s">
        <v>0</v>
      </c>
      <c r="I50" s="40" t="s">
        <v>0</v>
      </c>
      <c r="J50" s="13" t="s">
        <v>0</v>
      </c>
      <c r="K50" s="40" t="s">
        <v>0</v>
      </c>
      <c r="L50" s="40" t="s">
        <v>0</v>
      </c>
      <c r="M50" s="40" t="s">
        <v>0</v>
      </c>
      <c r="N50" s="40" t="s">
        <v>0</v>
      </c>
      <c r="O50" s="40" t="s">
        <v>0</v>
      </c>
      <c r="P50" s="40" t="s">
        <v>0</v>
      </c>
      <c r="Q50" s="13" t="s">
        <v>0</v>
      </c>
      <c r="R50" s="40" t="s">
        <v>0</v>
      </c>
      <c r="S50" s="40" t="s">
        <v>0</v>
      </c>
      <c r="T50" s="40" t="s">
        <v>0</v>
      </c>
      <c r="U50" s="40" t="s">
        <v>0</v>
      </c>
      <c r="V50" s="40" t="s">
        <v>0</v>
      </c>
      <c r="W50" s="40" t="s">
        <v>0</v>
      </c>
      <c r="X50" s="40" t="s">
        <v>451</v>
      </c>
      <c r="Y50" s="40"/>
      <c r="Z50" s="40"/>
      <c r="AA50" s="40" t="s">
        <v>0</v>
      </c>
      <c r="AB50" s="40" t="s">
        <v>0</v>
      </c>
      <c r="AC50" s="40" t="s">
        <v>0</v>
      </c>
      <c r="AD50" s="40" t="s">
        <v>500</v>
      </c>
      <c r="AE50" s="41"/>
      <c r="AF50" s="41"/>
      <c r="AG50" s="42" t="s">
        <v>68</v>
      </c>
      <c r="AH50" s="43" t="s">
        <v>273</v>
      </c>
      <c r="AI50" s="87">
        <v>14738</v>
      </c>
      <c r="AJ50" s="88">
        <v>14658</v>
      </c>
      <c r="AK50" s="45">
        <v>0</v>
      </c>
      <c r="AL50" s="52">
        <v>0</v>
      </c>
      <c r="AM50" s="45">
        <v>0</v>
      </c>
      <c r="AN50" s="45">
        <v>0</v>
      </c>
      <c r="AO50" s="45">
        <v>0</v>
      </c>
      <c r="AP50" s="45">
        <v>0</v>
      </c>
      <c r="AQ50" s="88">
        <v>14738</v>
      </c>
      <c r="AR50" s="88">
        <v>14658</v>
      </c>
      <c r="AS50" s="45">
        <v>80</v>
      </c>
      <c r="AT50" s="45">
        <v>0</v>
      </c>
      <c r="AU50" s="45">
        <v>0</v>
      </c>
      <c r="AV50" s="45">
        <v>0</v>
      </c>
      <c r="AW50" s="45">
        <f t="shared" ref="AW50:AW53" si="211">AS50</f>
        <v>80</v>
      </c>
      <c r="AX50" s="45">
        <f>SUM(AY50:BB50)</f>
        <v>13270.1</v>
      </c>
      <c r="AY50" s="45">
        <v>0</v>
      </c>
      <c r="AZ50" s="45">
        <v>0</v>
      </c>
      <c r="BA50" s="45">
        <v>0</v>
      </c>
      <c r="BB50" s="45">
        <v>13270.1</v>
      </c>
      <c r="BC50" s="45"/>
      <c r="BD50" s="45">
        <v>0</v>
      </c>
      <c r="BE50" s="45">
        <v>0</v>
      </c>
      <c r="BF50" s="45">
        <v>0</v>
      </c>
      <c r="BG50" s="45"/>
      <c r="BH50" s="45"/>
      <c r="BI50" s="45">
        <v>0</v>
      </c>
      <c r="BJ50" s="45">
        <v>0</v>
      </c>
      <c r="BK50" s="45">
        <v>0</v>
      </c>
      <c r="BL50" s="49">
        <f t="shared" ref="BL50" si="212">BH50</f>
        <v>0</v>
      </c>
      <c r="BM50" s="87">
        <v>14738</v>
      </c>
      <c r="BN50" s="89">
        <v>14658</v>
      </c>
      <c r="BO50" s="90">
        <v>0</v>
      </c>
      <c r="BP50" s="52">
        <v>0</v>
      </c>
      <c r="BQ50" s="45">
        <v>0</v>
      </c>
      <c r="BR50" s="45">
        <v>0</v>
      </c>
      <c r="BS50" s="45">
        <v>0</v>
      </c>
      <c r="BT50" s="45">
        <v>0</v>
      </c>
      <c r="BU50" s="88">
        <v>14738</v>
      </c>
      <c r="BV50" s="91">
        <v>14658</v>
      </c>
      <c r="BW50" s="45">
        <v>80</v>
      </c>
      <c r="BX50" s="45">
        <v>0</v>
      </c>
      <c r="BY50" s="45">
        <v>0</v>
      </c>
      <c r="BZ50" s="45">
        <v>0</v>
      </c>
      <c r="CA50" s="45">
        <f t="shared" ref="CA50:CA51" si="213">BW50</f>
        <v>80</v>
      </c>
      <c r="CB50" s="45">
        <v>14400</v>
      </c>
      <c r="CC50" s="45">
        <v>0</v>
      </c>
      <c r="CD50" s="45">
        <v>0</v>
      </c>
      <c r="CE50" s="45">
        <v>0</v>
      </c>
      <c r="CF50" s="45">
        <f t="shared" ref="CF50" si="214">CB50</f>
        <v>14400</v>
      </c>
      <c r="CG50" s="45">
        <v>80</v>
      </c>
      <c r="CH50" s="45">
        <v>0</v>
      </c>
      <c r="CI50" s="45">
        <v>0</v>
      </c>
      <c r="CJ50" s="45">
        <v>0</v>
      </c>
      <c r="CK50" s="45">
        <f t="shared" ref="CK50" si="215">CG50</f>
        <v>80</v>
      </c>
      <c r="CL50" s="45">
        <v>80</v>
      </c>
      <c r="CM50" s="45">
        <v>0</v>
      </c>
      <c r="CN50" s="45">
        <v>0</v>
      </c>
      <c r="CO50" s="45">
        <v>0</v>
      </c>
      <c r="CP50" s="49">
        <f t="shared" ref="CP50" si="216">CL50</f>
        <v>80</v>
      </c>
      <c r="CQ50" s="87">
        <v>14738</v>
      </c>
      <c r="CR50" s="46">
        <v>0</v>
      </c>
      <c r="CS50" s="46">
        <v>0</v>
      </c>
      <c r="CT50" s="46">
        <v>0</v>
      </c>
      <c r="CU50" s="91">
        <v>14738</v>
      </c>
      <c r="CV50" s="44">
        <v>80</v>
      </c>
      <c r="CW50" s="45">
        <v>0</v>
      </c>
      <c r="CX50" s="45">
        <v>0</v>
      </c>
      <c r="CY50" s="45">
        <v>0</v>
      </c>
      <c r="CZ50" s="49">
        <f t="shared" ref="CZ50:CZ51" si="217">CV50</f>
        <v>80</v>
      </c>
      <c r="DA50" s="44">
        <v>14400</v>
      </c>
      <c r="DB50" s="45">
        <v>0</v>
      </c>
      <c r="DC50" s="45">
        <v>0</v>
      </c>
      <c r="DD50" s="45">
        <v>0</v>
      </c>
      <c r="DE50" s="49">
        <f t="shared" ref="DE50" si="218">DA50</f>
        <v>14400</v>
      </c>
      <c r="DF50" s="87">
        <v>14738</v>
      </c>
      <c r="DG50" s="46">
        <v>0</v>
      </c>
      <c r="DH50" s="46">
        <v>0</v>
      </c>
      <c r="DI50" s="45">
        <v>0</v>
      </c>
      <c r="DJ50" s="88">
        <v>14738</v>
      </c>
      <c r="DK50" s="45">
        <v>80</v>
      </c>
      <c r="DL50" s="45">
        <v>0</v>
      </c>
      <c r="DM50" s="45">
        <v>0</v>
      </c>
      <c r="DN50" s="45">
        <v>0</v>
      </c>
      <c r="DO50" s="45">
        <f t="shared" ref="DO50:DO51" si="219">DK50</f>
        <v>80</v>
      </c>
      <c r="DP50" s="45">
        <v>14400</v>
      </c>
      <c r="DQ50" s="45">
        <v>0</v>
      </c>
      <c r="DR50" s="45">
        <v>0</v>
      </c>
      <c r="DS50" s="45">
        <v>0</v>
      </c>
      <c r="DT50" s="45">
        <f t="shared" ref="DT50" si="220">DP50</f>
        <v>14400</v>
      </c>
      <c r="DU50" s="50" t="s">
        <v>190</v>
      </c>
    </row>
    <row r="51" spans="1:125" customFormat="1" ht="123.75" x14ac:dyDescent="0.2">
      <c r="A51" s="38" t="s">
        <v>274</v>
      </c>
      <c r="B51" s="38" t="s">
        <v>275</v>
      </c>
      <c r="C51" s="39" t="s">
        <v>276</v>
      </c>
      <c r="D51" s="40" t="s">
        <v>427</v>
      </c>
      <c r="E51" s="40" t="s">
        <v>397</v>
      </c>
      <c r="F51" s="40" t="s">
        <v>426</v>
      </c>
      <c r="G51" s="40" t="s">
        <v>0</v>
      </c>
      <c r="H51" s="40" t="s">
        <v>0</v>
      </c>
      <c r="I51" s="40" t="s">
        <v>0</v>
      </c>
      <c r="J51" s="13" t="s">
        <v>0</v>
      </c>
      <c r="K51" s="40" t="s">
        <v>0</v>
      </c>
      <c r="L51" s="40" t="s">
        <v>0</v>
      </c>
      <c r="M51" s="40" t="s">
        <v>0</v>
      </c>
      <c r="N51" s="40" t="s">
        <v>0</v>
      </c>
      <c r="O51" s="40" t="s">
        <v>0</v>
      </c>
      <c r="P51" s="40" t="s">
        <v>0</v>
      </c>
      <c r="Q51" s="13" t="s">
        <v>0</v>
      </c>
      <c r="R51" s="40" t="s">
        <v>0</v>
      </c>
      <c r="S51" s="40" t="s">
        <v>0</v>
      </c>
      <c r="T51" s="40" t="s">
        <v>0</v>
      </c>
      <c r="U51" s="40" t="s">
        <v>0</v>
      </c>
      <c r="V51" s="40" t="s">
        <v>0</v>
      </c>
      <c r="W51" s="40" t="s">
        <v>0</v>
      </c>
      <c r="X51" s="40" t="s">
        <v>0</v>
      </c>
      <c r="Y51" s="40" t="s">
        <v>0</v>
      </c>
      <c r="Z51" s="40" t="s">
        <v>0</v>
      </c>
      <c r="AA51" s="40" t="s">
        <v>0</v>
      </c>
      <c r="AB51" s="40" t="s">
        <v>0</v>
      </c>
      <c r="AC51" s="40" t="s">
        <v>0</v>
      </c>
      <c r="AD51" s="40" t="s">
        <v>501</v>
      </c>
      <c r="AE51" s="41"/>
      <c r="AF51" s="41"/>
      <c r="AG51" s="42" t="s">
        <v>46</v>
      </c>
      <c r="AH51" s="43" t="s">
        <v>262</v>
      </c>
      <c r="AI51" s="92">
        <v>3322.48</v>
      </c>
      <c r="AJ51" s="93">
        <v>3322.48</v>
      </c>
      <c r="AK51" s="45">
        <v>0</v>
      </c>
      <c r="AL51" s="52">
        <v>0</v>
      </c>
      <c r="AM51" s="45">
        <v>0</v>
      </c>
      <c r="AN51" s="45">
        <v>0</v>
      </c>
      <c r="AO51" s="45">
        <v>0</v>
      </c>
      <c r="AP51" s="45">
        <v>0</v>
      </c>
      <c r="AQ51" s="93">
        <v>3322.48</v>
      </c>
      <c r="AR51" s="93">
        <v>3322.48</v>
      </c>
      <c r="AS51" s="53">
        <v>3322.48</v>
      </c>
      <c r="AT51" s="45">
        <v>0</v>
      </c>
      <c r="AU51" s="45">
        <v>0</v>
      </c>
      <c r="AV51" s="45">
        <v>0</v>
      </c>
      <c r="AW51" s="45">
        <f t="shared" si="211"/>
        <v>3322.48</v>
      </c>
      <c r="AX51" s="53">
        <f>SUM(AY51:BB51)</f>
        <v>2990.2</v>
      </c>
      <c r="AY51" s="45">
        <v>0</v>
      </c>
      <c r="AZ51" s="45">
        <v>0</v>
      </c>
      <c r="BA51" s="45">
        <v>0</v>
      </c>
      <c r="BB51" s="45">
        <v>2990.2</v>
      </c>
      <c r="BC51" s="53">
        <f>BG51</f>
        <v>2990.2</v>
      </c>
      <c r="BD51" s="45">
        <v>0</v>
      </c>
      <c r="BE51" s="45">
        <v>0</v>
      </c>
      <c r="BF51" s="45">
        <v>0</v>
      </c>
      <c r="BG51" s="45">
        <v>2990.2</v>
      </c>
      <c r="BH51" s="53">
        <f>BL51</f>
        <v>2990.2</v>
      </c>
      <c r="BI51" s="45">
        <v>0</v>
      </c>
      <c r="BJ51" s="45">
        <v>0</v>
      </c>
      <c r="BK51" s="45">
        <v>0</v>
      </c>
      <c r="BL51" s="45">
        <v>2990.2</v>
      </c>
      <c r="BM51" s="92">
        <v>3322.48</v>
      </c>
      <c r="BN51" s="93">
        <v>3322.48</v>
      </c>
      <c r="BO51" s="45">
        <v>0</v>
      </c>
      <c r="BP51" s="52">
        <v>0</v>
      </c>
      <c r="BQ51" s="45">
        <v>0</v>
      </c>
      <c r="BR51" s="45">
        <v>0</v>
      </c>
      <c r="BS51" s="45">
        <v>0</v>
      </c>
      <c r="BT51" s="45">
        <v>0</v>
      </c>
      <c r="BU51" s="93">
        <v>3322.48</v>
      </c>
      <c r="BV51" s="94">
        <v>3322.48</v>
      </c>
      <c r="BW51" s="53">
        <v>3322.48</v>
      </c>
      <c r="BX51" s="45">
        <v>0</v>
      </c>
      <c r="BY51" s="45">
        <v>0</v>
      </c>
      <c r="BZ51" s="45">
        <v>0</v>
      </c>
      <c r="CA51" s="45">
        <f t="shared" si="213"/>
        <v>3322.48</v>
      </c>
      <c r="CB51" s="53">
        <v>3322.48</v>
      </c>
      <c r="CC51" s="45">
        <v>0</v>
      </c>
      <c r="CD51" s="45">
        <v>0</v>
      </c>
      <c r="CE51" s="45">
        <v>0</v>
      </c>
      <c r="CF51" s="45">
        <f>CB51</f>
        <v>3322.48</v>
      </c>
      <c r="CG51" s="53">
        <v>3322.48</v>
      </c>
      <c r="CH51" s="45">
        <v>0</v>
      </c>
      <c r="CI51" s="45">
        <v>0</v>
      </c>
      <c r="CJ51" s="45">
        <v>0</v>
      </c>
      <c r="CK51" s="45">
        <f>CG51</f>
        <v>3322.48</v>
      </c>
      <c r="CL51" s="53">
        <v>3322.48</v>
      </c>
      <c r="CM51" s="45">
        <v>0</v>
      </c>
      <c r="CN51" s="45">
        <v>0</v>
      </c>
      <c r="CO51" s="45">
        <v>0</v>
      </c>
      <c r="CP51" s="49">
        <f>CL51</f>
        <v>3322.48</v>
      </c>
      <c r="CQ51" s="92">
        <v>3322.48</v>
      </c>
      <c r="CR51" s="46">
        <v>0</v>
      </c>
      <c r="CS51" s="46">
        <v>0</v>
      </c>
      <c r="CT51" s="46">
        <v>0</v>
      </c>
      <c r="CU51" s="94">
        <v>3322.48</v>
      </c>
      <c r="CV51" s="54">
        <v>3322.48</v>
      </c>
      <c r="CW51" s="45">
        <v>0</v>
      </c>
      <c r="CX51" s="45">
        <v>0</v>
      </c>
      <c r="CY51" s="45">
        <v>0</v>
      </c>
      <c r="CZ51" s="49">
        <f t="shared" si="217"/>
        <v>3322.48</v>
      </c>
      <c r="DA51" s="54">
        <v>3322.48</v>
      </c>
      <c r="DB51" s="45">
        <v>0</v>
      </c>
      <c r="DC51" s="45">
        <v>0</v>
      </c>
      <c r="DD51" s="45">
        <v>0</v>
      </c>
      <c r="DE51" s="49">
        <f>DA51</f>
        <v>3322.48</v>
      </c>
      <c r="DF51" s="92">
        <v>3322.48</v>
      </c>
      <c r="DG51" s="46">
        <v>0</v>
      </c>
      <c r="DH51" s="46">
        <v>0</v>
      </c>
      <c r="DI51" s="45">
        <v>0</v>
      </c>
      <c r="DJ51" s="93">
        <v>3322.48</v>
      </c>
      <c r="DK51" s="53">
        <v>3322.48</v>
      </c>
      <c r="DL51" s="45">
        <v>0</v>
      </c>
      <c r="DM51" s="45">
        <v>0</v>
      </c>
      <c r="DN51" s="45">
        <v>0</v>
      </c>
      <c r="DO51" s="45">
        <f t="shared" si="219"/>
        <v>3322.48</v>
      </c>
      <c r="DP51" s="53">
        <v>3322.48</v>
      </c>
      <c r="DQ51" s="45">
        <v>0</v>
      </c>
      <c r="DR51" s="45">
        <v>0</v>
      </c>
      <c r="DS51" s="45">
        <v>0</v>
      </c>
      <c r="DT51" s="45">
        <f>DP51</f>
        <v>3322.48</v>
      </c>
      <c r="DU51" s="50" t="s">
        <v>190</v>
      </c>
    </row>
    <row r="52" spans="1:125" ht="157.5" x14ac:dyDescent="0.2">
      <c r="A52" s="74" t="s">
        <v>277</v>
      </c>
      <c r="B52" s="74" t="s">
        <v>278</v>
      </c>
      <c r="C52" s="75" t="s">
        <v>279</v>
      </c>
      <c r="D52" s="40" t="s">
        <v>452</v>
      </c>
      <c r="E52" s="95" t="s">
        <v>397</v>
      </c>
      <c r="F52" s="95" t="s">
        <v>426</v>
      </c>
      <c r="G52" s="40" t="s">
        <v>0</v>
      </c>
      <c r="H52" s="40" t="s">
        <v>0</v>
      </c>
      <c r="I52" s="40" t="s">
        <v>0</v>
      </c>
      <c r="J52" s="13" t="s">
        <v>0</v>
      </c>
      <c r="K52" s="40" t="s">
        <v>0</v>
      </c>
      <c r="L52" s="40" t="s">
        <v>0</v>
      </c>
      <c r="M52" s="40" t="s">
        <v>0</v>
      </c>
      <c r="N52" s="40" t="s">
        <v>0</v>
      </c>
      <c r="O52" s="40" t="s">
        <v>0</v>
      </c>
      <c r="P52" s="40" t="s">
        <v>0</v>
      </c>
      <c r="Q52" s="13" t="s">
        <v>0</v>
      </c>
      <c r="R52" s="40" t="s">
        <v>0</v>
      </c>
      <c r="S52" s="40" t="s">
        <v>0</v>
      </c>
      <c r="T52" s="40" t="s">
        <v>0</v>
      </c>
      <c r="U52" s="40" t="s">
        <v>0</v>
      </c>
      <c r="V52" s="40" t="s">
        <v>0</v>
      </c>
      <c r="W52" s="40" t="s">
        <v>0</v>
      </c>
      <c r="X52" s="40" t="s">
        <v>0</v>
      </c>
      <c r="Y52" s="40" t="s">
        <v>0</v>
      </c>
      <c r="Z52" s="40" t="s">
        <v>0</v>
      </c>
      <c r="AA52" s="40" t="s">
        <v>518</v>
      </c>
      <c r="AB52" s="40" t="s">
        <v>0</v>
      </c>
      <c r="AC52" s="40" t="s">
        <v>0</v>
      </c>
      <c r="AD52" s="40" t="s">
        <v>517</v>
      </c>
      <c r="AE52" s="40"/>
      <c r="AF52" s="40"/>
      <c r="AG52" s="13" t="s">
        <v>60</v>
      </c>
      <c r="AH52" s="76" t="s">
        <v>596</v>
      </c>
      <c r="AI52" s="67">
        <f>8243.73+67670.09</f>
        <v>75913.819999999992</v>
      </c>
      <c r="AJ52" s="66">
        <f>6384+65707.42</f>
        <v>72091.42</v>
      </c>
      <c r="AK52" s="66">
        <v>0</v>
      </c>
      <c r="AL52" s="77">
        <v>0</v>
      </c>
      <c r="AM52" s="66">
        <v>0</v>
      </c>
      <c r="AN52" s="66">
        <v>0</v>
      </c>
      <c r="AO52" s="66">
        <v>0</v>
      </c>
      <c r="AP52" s="66">
        <v>0</v>
      </c>
      <c r="AQ52" s="66">
        <f>8243.73+67670.09</f>
        <v>75913.819999999992</v>
      </c>
      <c r="AR52" s="66">
        <f>6384+65707.42</f>
        <v>72091.42</v>
      </c>
      <c r="AS52" s="66">
        <f>SUBTOTAL(9,AT52:AW52)</f>
        <v>150673.60000000001</v>
      </c>
      <c r="AT52" s="66">
        <v>0</v>
      </c>
      <c r="AU52" s="66">
        <v>0</v>
      </c>
      <c r="AV52" s="66">
        <f>69450+1530+1920</f>
        <v>72900</v>
      </c>
      <c r="AW52" s="66">
        <v>77773.600000000006</v>
      </c>
      <c r="AX52" s="66">
        <f>SUM(AY52:BB52)</f>
        <v>150673.60000000001</v>
      </c>
      <c r="AY52" s="66">
        <v>0</v>
      </c>
      <c r="AZ52" s="66">
        <v>0</v>
      </c>
      <c r="BA52" s="66">
        <v>72900</v>
      </c>
      <c r="BB52" s="66">
        <v>77773.600000000006</v>
      </c>
      <c r="BC52" s="66">
        <f>BG52</f>
        <v>80737.67</v>
      </c>
      <c r="BD52" s="66">
        <v>0</v>
      </c>
      <c r="BE52" s="66">
        <v>0</v>
      </c>
      <c r="BF52" s="66">
        <v>0</v>
      </c>
      <c r="BG52" s="66">
        <f>8962.08+71775.59</f>
        <v>80737.67</v>
      </c>
      <c r="BH52" s="66">
        <f>BL52</f>
        <v>80737.67</v>
      </c>
      <c r="BI52" s="66">
        <v>0</v>
      </c>
      <c r="BJ52" s="66">
        <v>0</v>
      </c>
      <c r="BK52" s="66">
        <v>0</v>
      </c>
      <c r="BL52" s="66">
        <f>8962.08+71775.59</f>
        <v>80737.67</v>
      </c>
      <c r="BM52" s="67">
        <f>8243.73+67670.09</f>
        <v>75913.819999999992</v>
      </c>
      <c r="BN52" s="66">
        <f>6384+65707.42</f>
        <v>72091.42</v>
      </c>
      <c r="BO52" s="66">
        <v>0</v>
      </c>
      <c r="BP52" s="77">
        <v>0</v>
      </c>
      <c r="BQ52" s="66">
        <v>0</v>
      </c>
      <c r="BR52" s="66">
        <v>0</v>
      </c>
      <c r="BS52" s="66">
        <v>0</v>
      </c>
      <c r="BT52" s="66">
        <v>0</v>
      </c>
      <c r="BU52" s="66">
        <f>8243.73+67670.09</f>
        <v>75913.819999999992</v>
      </c>
      <c r="BV52" s="68">
        <f>6384+65707.42</f>
        <v>72091.42</v>
      </c>
      <c r="BW52" s="66">
        <f>SUBTOTAL(9,BX52:CA52)</f>
        <v>145208.69</v>
      </c>
      <c r="BX52" s="66">
        <v>0</v>
      </c>
      <c r="BY52" s="66">
        <v>0</v>
      </c>
      <c r="BZ52" s="66">
        <f>69450+1530+1920</f>
        <v>72900</v>
      </c>
      <c r="CA52" s="66">
        <f>8502.08+65726.61+70980-72900</f>
        <v>72308.69</v>
      </c>
      <c r="CB52" s="66">
        <f>CF52</f>
        <v>76333.430000000008</v>
      </c>
      <c r="CC52" s="66">
        <v>0</v>
      </c>
      <c r="CD52" s="66">
        <v>0</v>
      </c>
      <c r="CE52" s="66">
        <v>0</v>
      </c>
      <c r="CF52" s="66">
        <f>8962.08+67371.35</f>
        <v>76333.430000000008</v>
      </c>
      <c r="CG52" s="66">
        <f>CK52</f>
        <v>80737.67</v>
      </c>
      <c r="CH52" s="66">
        <v>0</v>
      </c>
      <c r="CI52" s="66">
        <v>0</v>
      </c>
      <c r="CJ52" s="66">
        <v>0</v>
      </c>
      <c r="CK52" s="66">
        <f>8962.08+71775.59</f>
        <v>80737.67</v>
      </c>
      <c r="CL52" s="66">
        <f>CP52</f>
        <v>80737.67</v>
      </c>
      <c r="CM52" s="66">
        <v>0</v>
      </c>
      <c r="CN52" s="66">
        <v>0</v>
      </c>
      <c r="CO52" s="66">
        <v>0</v>
      </c>
      <c r="CP52" s="66">
        <f>8962.08+71775.59</f>
        <v>80737.67</v>
      </c>
      <c r="CQ52" s="80">
        <v>75913.819999999992</v>
      </c>
      <c r="CR52" s="78">
        <v>0</v>
      </c>
      <c r="CS52" s="78">
        <v>0</v>
      </c>
      <c r="CT52" s="78">
        <v>0</v>
      </c>
      <c r="CU52" s="79">
        <v>75913.819999999992</v>
      </c>
      <c r="CV52" s="67">
        <f>CZ52</f>
        <v>145208.69</v>
      </c>
      <c r="CW52" s="66">
        <v>0</v>
      </c>
      <c r="CX52" s="66">
        <v>0</v>
      </c>
      <c r="CY52" s="66">
        <v>0</v>
      </c>
      <c r="CZ52" s="68">
        <f>8502.08+65726.61+70980</f>
        <v>145208.69</v>
      </c>
      <c r="DA52" s="67">
        <f>DE52</f>
        <v>76333.430000000008</v>
      </c>
      <c r="DB52" s="66">
        <v>0</v>
      </c>
      <c r="DC52" s="66">
        <v>0</v>
      </c>
      <c r="DD52" s="66">
        <v>0</v>
      </c>
      <c r="DE52" s="68">
        <f>8962.08+67371.35</f>
        <v>76333.430000000008</v>
      </c>
      <c r="DF52" s="80">
        <v>75913.819999999992</v>
      </c>
      <c r="DG52" s="78">
        <v>0</v>
      </c>
      <c r="DH52" s="78">
        <v>0</v>
      </c>
      <c r="DI52" s="66">
        <v>0</v>
      </c>
      <c r="DJ52" s="78">
        <v>75913.819999999992</v>
      </c>
      <c r="DK52" s="66">
        <f>SUBTOTAL(9,DL52:DO52)</f>
        <v>145208.69</v>
      </c>
      <c r="DL52" s="66">
        <v>0</v>
      </c>
      <c r="DM52" s="66">
        <v>0</v>
      </c>
      <c r="DN52" s="66">
        <f>69450+1530+1920</f>
        <v>72900</v>
      </c>
      <c r="DO52" s="66">
        <f>8502.08+65726.61+70980-72900</f>
        <v>72308.69</v>
      </c>
      <c r="DP52" s="66">
        <f>DT52</f>
        <v>76333.430000000008</v>
      </c>
      <c r="DQ52" s="66">
        <v>0</v>
      </c>
      <c r="DR52" s="66">
        <v>0</v>
      </c>
      <c r="DS52" s="66">
        <v>0</v>
      </c>
      <c r="DT52" s="66">
        <f>8962.08+67371.35</f>
        <v>76333.430000000008</v>
      </c>
      <c r="DU52" s="51" t="s">
        <v>178</v>
      </c>
    </row>
    <row r="53" spans="1:125" customFormat="1" ht="146.25" x14ac:dyDescent="0.2">
      <c r="A53" s="38" t="s">
        <v>280</v>
      </c>
      <c r="B53" s="38" t="s">
        <v>281</v>
      </c>
      <c r="C53" s="39" t="s">
        <v>282</v>
      </c>
      <c r="D53" s="40" t="s">
        <v>427</v>
      </c>
      <c r="E53" s="40" t="s">
        <v>0</v>
      </c>
      <c r="F53" s="40" t="s">
        <v>426</v>
      </c>
      <c r="G53" s="40" t="s">
        <v>0</v>
      </c>
      <c r="H53" s="40" t="s">
        <v>0</v>
      </c>
      <c r="I53" s="40" t="s">
        <v>0</v>
      </c>
      <c r="J53" s="40" t="s">
        <v>0</v>
      </c>
      <c r="K53" s="40" t="s">
        <v>0</v>
      </c>
      <c r="L53" s="40" t="s">
        <v>0</v>
      </c>
      <c r="M53" s="40" t="s">
        <v>0</v>
      </c>
      <c r="N53" s="40" t="s">
        <v>0</v>
      </c>
      <c r="O53" s="40" t="s">
        <v>0</v>
      </c>
      <c r="P53" s="40" t="s">
        <v>0</v>
      </c>
      <c r="Q53" s="40" t="s">
        <v>0</v>
      </c>
      <c r="R53" s="40" t="s">
        <v>0</v>
      </c>
      <c r="S53" s="40" t="s">
        <v>0</v>
      </c>
      <c r="T53" s="40" t="s">
        <v>0</v>
      </c>
      <c r="U53" s="40" t="s">
        <v>0</v>
      </c>
      <c r="V53" s="40" t="s">
        <v>0</v>
      </c>
      <c r="W53" s="40" t="s">
        <v>0</v>
      </c>
      <c r="X53" s="40" t="s">
        <v>0</v>
      </c>
      <c r="Y53" s="40" t="s">
        <v>0</v>
      </c>
      <c r="Z53" s="40" t="s">
        <v>0</v>
      </c>
      <c r="AA53" s="40" t="s">
        <v>0</v>
      </c>
      <c r="AB53" s="40" t="s">
        <v>0</v>
      </c>
      <c r="AC53" s="40" t="s">
        <v>0</v>
      </c>
      <c r="AD53" s="40" t="s">
        <v>502</v>
      </c>
      <c r="AE53" s="41"/>
      <c r="AF53" s="41"/>
      <c r="AG53" s="42" t="s">
        <v>55</v>
      </c>
      <c r="AH53" s="43" t="s">
        <v>171</v>
      </c>
      <c r="AI53" s="92">
        <v>13350.29</v>
      </c>
      <c r="AJ53" s="93">
        <v>11922.89</v>
      </c>
      <c r="AK53" s="45">
        <v>0</v>
      </c>
      <c r="AL53" s="52">
        <v>0</v>
      </c>
      <c r="AM53" s="45">
        <v>0</v>
      </c>
      <c r="AN53" s="45">
        <v>0</v>
      </c>
      <c r="AO53" s="45">
        <v>0</v>
      </c>
      <c r="AP53" s="45">
        <v>0</v>
      </c>
      <c r="AQ53" s="93">
        <v>13350.29</v>
      </c>
      <c r="AR53" s="93">
        <v>11922.89</v>
      </c>
      <c r="AS53" s="53">
        <v>16545.689999999999</v>
      </c>
      <c r="AT53" s="45">
        <v>0</v>
      </c>
      <c r="AU53" s="45">
        <v>0</v>
      </c>
      <c r="AV53" s="45">
        <v>0</v>
      </c>
      <c r="AW53" s="45">
        <f t="shared" si="211"/>
        <v>16545.689999999999</v>
      </c>
      <c r="AX53" s="53">
        <f>SUM(AY53:BB53)</f>
        <v>18693.5</v>
      </c>
      <c r="AY53" s="45">
        <v>0</v>
      </c>
      <c r="AZ53" s="45">
        <v>0</v>
      </c>
      <c r="BA53" s="45">
        <v>0</v>
      </c>
      <c r="BB53" s="45">
        <v>18693.5</v>
      </c>
      <c r="BC53" s="53">
        <f>BG53</f>
        <v>18693.5</v>
      </c>
      <c r="BD53" s="45">
        <v>0</v>
      </c>
      <c r="BE53" s="45">
        <v>0</v>
      </c>
      <c r="BF53" s="45">
        <v>0</v>
      </c>
      <c r="BG53" s="45">
        <v>18693.5</v>
      </c>
      <c r="BH53" s="53">
        <f>BL53</f>
        <v>18693.5</v>
      </c>
      <c r="BI53" s="45">
        <v>0</v>
      </c>
      <c r="BJ53" s="45">
        <v>0</v>
      </c>
      <c r="BK53" s="45">
        <v>0</v>
      </c>
      <c r="BL53" s="45">
        <v>18693.5</v>
      </c>
      <c r="BM53" s="92">
        <v>13350.29</v>
      </c>
      <c r="BN53" s="93">
        <v>11922.89</v>
      </c>
      <c r="BO53" s="45">
        <v>0</v>
      </c>
      <c r="BP53" s="52">
        <v>0</v>
      </c>
      <c r="BQ53" s="45">
        <v>0</v>
      </c>
      <c r="BR53" s="45">
        <v>0</v>
      </c>
      <c r="BS53" s="45">
        <v>0</v>
      </c>
      <c r="BT53" s="45">
        <v>0</v>
      </c>
      <c r="BU53" s="93">
        <v>13350.29</v>
      </c>
      <c r="BV53" s="94">
        <v>11922.89</v>
      </c>
      <c r="BW53" s="53">
        <v>16545.689999999999</v>
      </c>
      <c r="BX53" s="45">
        <v>0</v>
      </c>
      <c r="BY53" s="45">
        <v>0</v>
      </c>
      <c r="BZ53" s="45">
        <v>0</v>
      </c>
      <c r="CA53" s="45">
        <f t="shared" ref="CA53" si="221">BW53</f>
        <v>16545.689999999999</v>
      </c>
      <c r="CB53" s="53">
        <v>14593.06</v>
      </c>
      <c r="CC53" s="45">
        <v>0</v>
      </c>
      <c r="CD53" s="45">
        <v>0</v>
      </c>
      <c r="CE53" s="45">
        <v>0</v>
      </c>
      <c r="CF53" s="45">
        <f t="shared" ref="CF53" si="222">CB53</f>
        <v>14593.06</v>
      </c>
      <c r="CG53" s="53">
        <v>14593.06</v>
      </c>
      <c r="CH53" s="45">
        <v>0</v>
      </c>
      <c r="CI53" s="45">
        <v>0</v>
      </c>
      <c r="CJ53" s="45">
        <v>0</v>
      </c>
      <c r="CK53" s="45">
        <f t="shared" ref="CK53" si="223">CG53</f>
        <v>14593.06</v>
      </c>
      <c r="CL53" s="53">
        <v>14593.06</v>
      </c>
      <c r="CM53" s="45">
        <v>0</v>
      </c>
      <c r="CN53" s="45">
        <v>0</v>
      </c>
      <c r="CO53" s="45">
        <v>0</v>
      </c>
      <c r="CP53" s="49">
        <f t="shared" ref="CP53" si="224">CL53</f>
        <v>14593.06</v>
      </c>
      <c r="CQ53" s="92">
        <v>13350.29</v>
      </c>
      <c r="CR53" s="46">
        <v>0</v>
      </c>
      <c r="CS53" s="46">
        <v>0</v>
      </c>
      <c r="CT53" s="46">
        <v>0</v>
      </c>
      <c r="CU53" s="94">
        <v>13350.29</v>
      </c>
      <c r="CV53" s="54">
        <v>16545.689999999999</v>
      </c>
      <c r="CW53" s="45">
        <v>0</v>
      </c>
      <c r="CX53" s="45">
        <v>0</v>
      </c>
      <c r="CY53" s="45">
        <v>0</v>
      </c>
      <c r="CZ53" s="49">
        <f t="shared" ref="CZ53" si="225">CV53</f>
        <v>16545.689999999999</v>
      </c>
      <c r="DA53" s="54">
        <v>14593.06</v>
      </c>
      <c r="DB53" s="45">
        <v>0</v>
      </c>
      <c r="DC53" s="45">
        <v>0</v>
      </c>
      <c r="DD53" s="45">
        <v>0</v>
      </c>
      <c r="DE53" s="49">
        <f t="shared" ref="DE53" si="226">DA53</f>
        <v>14593.06</v>
      </c>
      <c r="DF53" s="92">
        <v>13350.29</v>
      </c>
      <c r="DG53" s="46">
        <v>0</v>
      </c>
      <c r="DH53" s="46">
        <v>0</v>
      </c>
      <c r="DI53" s="45">
        <v>0</v>
      </c>
      <c r="DJ53" s="93">
        <v>13350.29</v>
      </c>
      <c r="DK53" s="53">
        <v>16545.689999999999</v>
      </c>
      <c r="DL53" s="45">
        <v>0</v>
      </c>
      <c r="DM53" s="45">
        <v>0</v>
      </c>
      <c r="DN53" s="45">
        <v>0</v>
      </c>
      <c r="DO53" s="45">
        <f t="shared" ref="DO53" si="227">DK53</f>
        <v>16545.689999999999</v>
      </c>
      <c r="DP53" s="53">
        <v>14593.06</v>
      </c>
      <c r="DQ53" s="45">
        <v>0</v>
      </c>
      <c r="DR53" s="45">
        <v>0</v>
      </c>
      <c r="DS53" s="45">
        <v>0</v>
      </c>
      <c r="DT53" s="45">
        <f t="shared" ref="DT53" si="228">DP53</f>
        <v>14593.06</v>
      </c>
      <c r="DU53" s="50" t="s">
        <v>190</v>
      </c>
    </row>
    <row r="54" spans="1:125" s="37" customFormat="1" ht="84" x14ac:dyDescent="0.2">
      <c r="A54" s="26" t="s">
        <v>283</v>
      </c>
      <c r="B54" s="26" t="s">
        <v>284</v>
      </c>
      <c r="C54" s="27" t="s">
        <v>285</v>
      </c>
      <c r="D54" s="71" t="s">
        <v>168</v>
      </c>
      <c r="E54" s="71" t="s">
        <v>168</v>
      </c>
      <c r="F54" s="71" t="s">
        <v>168</v>
      </c>
      <c r="G54" s="71" t="s">
        <v>168</v>
      </c>
      <c r="H54" s="71" t="s">
        <v>168</v>
      </c>
      <c r="I54" s="71" t="s">
        <v>168</v>
      </c>
      <c r="J54" s="71" t="s">
        <v>168</v>
      </c>
      <c r="K54" s="71" t="s">
        <v>168</v>
      </c>
      <c r="L54" s="71" t="s">
        <v>168</v>
      </c>
      <c r="M54" s="71" t="s">
        <v>168</v>
      </c>
      <c r="N54" s="71" t="s">
        <v>168</v>
      </c>
      <c r="O54" s="71" t="s">
        <v>168</v>
      </c>
      <c r="P54" s="71" t="s">
        <v>168</v>
      </c>
      <c r="Q54" s="71" t="s">
        <v>168</v>
      </c>
      <c r="R54" s="71" t="s">
        <v>168</v>
      </c>
      <c r="S54" s="71" t="s">
        <v>168</v>
      </c>
      <c r="T54" s="71" t="s">
        <v>168</v>
      </c>
      <c r="U54" s="71" t="s">
        <v>168</v>
      </c>
      <c r="V54" s="71" t="s">
        <v>168</v>
      </c>
      <c r="W54" s="71" t="s">
        <v>168</v>
      </c>
      <c r="X54" s="71" t="s">
        <v>168</v>
      </c>
      <c r="Y54" s="71" t="s">
        <v>168</v>
      </c>
      <c r="Z54" s="71" t="s">
        <v>168</v>
      </c>
      <c r="AA54" s="71" t="s">
        <v>168</v>
      </c>
      <c r="AB54" s="71" t="s">
        <v>168</v>
      </c>
      <c r="AC54" s="71" t="s">
        <v>168</v>
      </c>
      <c r="AD54" s="71" t="s">
        <v>168</v>
      </c>
      <c r="AE54" s="28" t="s">
        <v>168</v>
      </c>
      <c r="AF54" s="28" t="s">
        <v>168</v>
      </c>
      <c r="AG54" s="28" t="s">
        <v>168</v>
      </c>
      <c r="AH54" s="29" t="s">
        <v>168</v>
      </c>
      <c r="AI54" s="30">
        <f>AI55+AI59+AI61</f>
        <v>190853.98</v>
      </c>
      <c r="AJ54" s="31">
        <f t="shared" ref="AJ54:AR54" si="229">AJ55+AJ59+AJ61</f>
        <v>108299.51000000001</v>
      </c>
      <c r="AK54" s="31">
        <f t="shared" si="229"/>
        <v>13062.96</v>
      </c>
      <c r="AL54" s="31">
        <f t="shared" si="229"/>
        <v>13058.42</v>
      </c>
      <c r="AM54" s="31">
        <f t="shared" si="229"/>
        <v>1635.91</v>
      </c>
      <c r="AN54" s="31">
        <f t="shared" si="229"/>
        <v>1633.01</v>
      </c>
      <c r="AO54" s="31">
        <f t="shared" si="229"/>
        <v>0</v>
      </c>
      <c r="AP54" s="31">
        <f t="shared" si="229"/>
        <v>0</v>
      </c>
      <c r="AQ54" s="31">
        <f t="shared" si="229"/>
        <v>176155.11000000002</v>
      </c>
      <c r="AR54" s="31">
        <f t="shared" si="229"/>
        <v>93608.08</v>
      </c>
      <c r="AS54" s="31">
        <f>AS55+AS59+AS61</f>
        <v>135117</v>
      </c>
      <c r="AT54" s="31">
        <f t="shared" ref="AT54" si="230">AT55+AT59+AT61</f>
        <v>0</v>
      </c>
      <c r="AU54" s="31">
        <f t="shared" ref="AU54" si="231">AU55+AU59+AU61</f>
        <v>29917.599999999999</v>
      </c>
      <c r="AV54" s="31">
        <f t="shared" ref="AV54" si="232">AV55+AV59+AV61</f>
        <v>17430</v>
      </c>
      <c r="AW54" s="31">
        <f t="shared" ref="AW54" si="233">AW55+AW59+AW61</f>
        <v>87769.4</v>
      </c>
      <c r="AX54" s="31">
        <f t="shared" ref="AX54" si="234">AX55+AX59+AX61</f>
        <v>84658.3</v>
      </c>
      <c r="AY54" s="31">
        <f t="shared" ref="AY54" si="235">AY55+AY59+AY61</f>
        <v>0</v>
      </c>
      <c r="AZ54" s="31">
        <f t="shared" ref="AZ54" si="236">AZ55+AZ59+AZ61</f>
        <v>0</v>
      </c>
      <c r="BA54" s="31">
        <f t="shared" ref="BA54" si="237">BA55+BA59+BA61</f>
        <v>69725.2</v>
      </c>
      <c r="BB54" s="31">
        <f t="shared" ref="BB54" si="238">BB55+BB59+BB61</f>
        <v>14933.1</v>
      </c>
      <c r="BC54" s="31">
        <f t="shared" ref="BC54" si="239">BC55+BC59+BC61</f>
        <v>24433.1</v>
      </c>
      <c r="BD54" s="31">
        <f t="shared" ref="BD54" si="240">BD55+BD59+BD61</f>
        <v>0</v>
      </c>
      <c r="BE54" s="31">
        <f t="shared" ref="BE54" si="241">BE55+BE59+BE61</f>
        <v>0</v>
      </c>
      <c r="BF54" s="31">
        <f t="shared" ref="BF54" si="242">BF55+BF59+BF61</f>
        <v>0</v>
      </c>
      <c r="BG54" s="31">
        <f t="shared" ref="BG54" si="243">BG55+BG59+BG61</f>
        <v>24433.1</v>
      </c>
      <c r="BH54" s="31">
        <f t="shared" ref="BH54" si="244">BH55+BH59+BH61</f>
        <v>24433.1</v>
      </c>
      <c r="BI54" s="31">
        <f t="shared" ref="BI54" si="245">BI55+BI59+BI61</f>
        <v>0</v>
      </c>
      <c r="BJ54" s="31">
        <f t="shared" ref="BJ54" si="246">BJ55+BJ59+BJ61</f>
        <v>0</v>
      </c>
      <c r="BK54" s="31">
        <f t="shared" ref="BK54" si="247">BK55+BK59+BK61</f>
        <v>0</v>
      </c>
      <c r="BL54" s="32">
        <f t="shared" ref="BL54" si="248">BL55+BL59+BL61</f>
        <v>24433.1</v>
      </c>
      <c r="BM54" s="30">
        <f>BM55+BM59+BM61</f>
        <v>35760.01</v>
      </c>
      <c r="BN54" s="31">
        <f t="shared" ref="BN54:BV54" si="249">BN55+BN59+BN61</f>
        <v>29278.559999999998</v>
      </c>
      <c r="BO54" s="31">
        <f t="shared" si="249"/>
        <v>0</v>
      </c>
      <c r="BP54" s="31">
        <f t="shared" si="249"/>
        <v>0</v>
      </c>
      <c r="BQ54" s="31">
        <f t="shared" si="249"/>
        <v>0</v>
      </c>
      <c r="BR54" s="31">
        <f t="shared" si="249"/>
        <v>0</v>
      </c>
      <c r="BS54" s="31">
        <f t="shared" si="249"/>
        <v>0</v>
      </c>
      <c r="BT54" s="31">
        <f t="shared" si="249"/>
        <v>0</v>
      </c>
      <c r="BU54" s="31">
        <f t="shared" si="249"/>
        <v>35760.01</v>
      </c>
      <c r="BV54" s="32">
        <f t="shared" si="249"/>
        <v>29278.559999999998</v>
      </c>
      <c r="BW54" s="31">
        <f>BW55+BW59+BW61</f>
        <v>32825.009999999995</v>
      </c>
      <c r="BX54" s="31">
        <f t="shared" ref="BX54:CA54" si="250">BX55+BX59+BX61</f>
        <v>0</v>
      </c>
      <c r="BY54" s="31">
        <f t="shared" si="250"/>
        <v>0</v>
      </c>
      <c r="BZ54" s="31">
        <f t="shared" si="250"/>
        <v>0</v>
      </c>
      <c r="CA54" s="31">
        <f t="shared" si="250"/>
        <v>32825.009999999995</v>
      </c>
      <c r="CB54" s="31">
        <f t="shared" ref="CB54:CP54" si="251">CB55+CB59+CB61</f>
        <v>23261.409999999996</v>
      </c>
      <c r="CC54" s="31">
        <f t="shared" si="251"/>
        <v>0</v>
      </c>
      <c r="CD54" s="31">
        <f t="shared" si="251"/>
        <v>0</v>
      </c>
      <c r="CE54" s="31">
        <f t="shared" si="251"/>
        <v>0</v>
      </c>
      <c r="CF54" s="31">
        <f t="shared" si="251"/>
        <v>23261.409999999996</v>
      </c>
      <c r="CG54" s="31">
        <f t="shared" si="251"/>
        <v>23261.409999999996</v>
      </c>
      <c r="CH54" s="31">
        <f t="shared" si="251"/>
        <v>0</v>
      </c>
      <c r="CI54" s="31">
        <f t="shared" si="251"/>
        <v>0</v>
      </c>
      <c r="CJ54" s="31">
        <f t="shared" si="251"/>
        <v>0</v>
      </c>
      <c r="CK54" s="31">
        <f t="shared" si="251"/>
        <v>23261.409999999996</v>
      </c>
      <c r="CL54" s="31">
        <f t="shared" si="251"/>
        <v>23261.409999999996</v>
      </c>
      <c r="CM54" s="31">
        <f t="shared" si="251"/>
        <v>0</v>
      </c>
      <c r="CN54" s="31">
        <f t="shared" si="251"/>
        <v>0</v>
      </c>
      <c r="CO54" s="31">
        <f t="shared" si="251"/>
        <v>0</v>
      </c>
      <c r="CP54" s="32">
        <f t="shared" si="251"/>
        <v>23261.409999999996</v>
      </c>
      <c r="CQ54" s="33">
        <v>190853.98</v>
      </c>
      <c r="CR54" s="34">
        <v>13062.96</v>
      </c>
      <c r="CS54" s="34">
        <v>1635.91</v>
      </c>
      <c r="CT54" s="34">
        <v>0</v>
      </c>
      <c r="CU54" s="35">
        <v>176155.11000000002</v>
      </c>
      <c r="CV54" s="30">
        <f>CV55+CV59+CV61</f>
        <v>70893.509999999995</v>
      </c>
      <c r="CW54" s="31">
        <f t="shared" ref="CW54:DE54" si="252">CW55+CW59+CW61</f>
        <v>0</v>
      </c>
      <c r="CX54" s="31">
        <f t="shared" si="252"/>
        <v>0</v>
      </c>
      <c r="CY54" s="31">
        <f t="shared" si="252"/>
        <v>0</v>
      </c>
      <c r="CZ54" s="32">
        <f t="shared" si="252"/>
        <v>70893.509999999995</v>
      </c>
      <c r="DA54" s="30">
        <f t="shared" si="252"/>
        <v>33761.409999999996</v>
      </c>
      <c r="DB54" s="31">
        <f t="shared" si="252"/>
        <v>0</v>
      </c>
      <c r="DC54" s="31">
        <f t="shared" si="252"/>
        <v>0</v>
      </c>
      <c r="DD54" s="31">
        <f t="shared" si="252"/>
        <v>0</v>
      </c>
      <c r="DE54" s="32">
        <f t="shared" si="252"/>
        <v>33761.409999999996</v>
      </c>
      <c r="DF54" s="33">
        <v>35760.01</v>
      </c>
      <c r="DG54" s="34">
        <v>0</v>
      </c>
      <c r="DH54" s="34">
        <v>0</v>
      </c>
      <c r="DI54" s="31">
        <f t="shared" ref="DI54" si="253">DI55+DI59+DI61</f>
        <v>0</v>
      </c>
      <c r="DJ54" s="34">
        <v>35760.01</v>
      </c>
      <c r="DK54" s="31">
        <f>DK55+DK59+DK61</f>
        <v>32825.009999999995</v>
      </c>
      <c r="DL54" s="31">
        <f t="shared" ref="DL54:DT54" si="254">DL55+DL59+DL61</f>
        <v>0</v>
      </c>
      <c r="DM54" s="31">
        <f t="shared" si="254"/>
        <v>0</v>
      </c>
      <c r="DN54" s="31">
        <f t="shared" si="254"/>
        <v>0</v>
      </c>
      <c r="DO54" s="31">
        <f t="shared" si="254"/>
        <v>32825.009999999995</v>
      </c>
      <c r="DP54" s="31">
        <f t="shared" si="254"/>
        <v>23261.409999999996</v>
      </c>
      <c r="DQ54" s="31">
        <f t="shared" si="254"/>
        <v>0</v>
      </c>
      <c r="DR54" s="31">
        <f t="shared" si="254"/>
        <v>0</v>
      </c>
      <c r="DS54" s="31">
        <f t="shared" si="254"/>
        <v>0</v>
      </c>
      <c r="DT54" s="31">
        <f t="shared" si="254"/>
        <v>23261.409999999996</v>
      </c>
      <c r="DU54" s="36" t="s">
        <v>0</v>
      </c>
    </row>
    <row r="55" spans="1:125" s="37" customFormat="1" ht="63" x14ac:dyDescent="0.2">
      <c r="A55" s="26" t="s">
        <v>286</v>
      </c>
      <c r="B55" s="26" t="s">
        <v>287</v>
      </c>
      <c r="C55" s="27" t="s">
        <v>288</v>
      </c>
      <c r="D55" s="71" t="s">
        <v>168</v>
      </c>
      <c r="E55" s="71" t="s">
        <v>168</v>
      </c>
      <c r="F55" s="71" t="s">
        <v>168</v>
      </c>
      <c r="G55" s="71" t="s">
        <v>168</v>
      </c>
      <c r="H55" s="71" t="s">
        <v>168</v>
      </c>
      <c r="I55" s="71" t="s">
        <v>168</v>
      </c>
      <c r="J55" s="71" t="s">
        <v>168</v>
      </c>
      <c r="K55" s="71" t="s">
        <v>168</v>
      </c>
      <c r="L55" s="71" t="s">
        <v>168</v>
      </c>
      <c r="M55" s="71" t="s">
        <v>168</v>
      </c>
      <c r="N55" s="71" t="s">
        <v>168</v>
      </c>
      <c r="O55" s="71" t="s">
        <v>168</v>
      </c>
      <c r="P55" s="71" t="s">
        <v>168</v>
      </c>
      <c r="Q55" s="71" t="s">
        <v>168</v>
      </c>
      <c r="R55" s="71" t="s">
        <v>168</v>
      </c>
      <c r="S55" s="71" t="s">
        <v>168</v>
      </c>
      <c r="T55" s="71" t="s">
        <v>168</v>
      </c>
      <c r="U55" s="71" t="s">
        <v>168</v>
      </c>
      <c r="V55" s="71" t="s">
        <v>168</v>
      </c>
      <c r="W55" s="71" t="s">
        <v>168</v>
      </c>
      <c r="X55" s="71" t="s">
        <v>168</v>
      </c>
      <c r="Y55" s="71" t="s">
        <v>168</v>
      </c>
      <c r="Z55" s="71" t="s">
        <v>168</v>
      </c>
      <c r="AA55" s="71" t="s">
        <v>168</v>
      </c>
      <c r="AB55" s="71" t="s">
        <v>168</v>
      </c>
      <c r="AC55" s="71" t="s">
        <v>168</v>
      </c>
      <c r="AD55" s="71" t="s">
        <v>168</v>
      </c>
      <c r="AE55" s="28" t="s">
        <v>168</v>
      </c>
      <c r="AF55" s="28" t="s">
        <v>168</v>
      </c>
      <c r="AG55" s="28" t="s">
        <v>168</v>
      </c>
      <c r="AH55" s="29" t="s">
        <v>168</v>
      </c>
      <c r="AI55" s="30">
        <f>SUM(AI56:AI58)</f>
        <v>1447.6</v>
      </c>
      <c r="AJ55" s="31">
        <f t="shared" ref="AJ55:BL55" si="255">SUM(AJ56:AJ58)</f>
        <v>1442.6</v>
      </c>
      <c r="AK55" s="31">
        <f t="shared" si="255"/>
        <v>0</v>
      </c>
      <c r="AL55" s="31">
        <f t="shared" si="255"/>
        <v>0</v>
      </c>
      <c r="AM55" s="31">
        <f t="shared" si="255"/>
        <v>500</v>
      </c>
      <c r="AN55" s="31">
        <f t="shared" si="255"/>
        <v>497.5</v>
      </c>
      <c r="AO55" s="31">
        <f t="shared" si="255"/>
        <v>0</v>
      </c>
      <c r="AP55" s="31">
        <f t="shared" si="255"/>
        <v>0</v>
      </c>
      <c r="AQ55" s="31">
        <f t="shared" si="255"/>
        <v>947.6</v>
      </c>
      <c r="AR55" s="31">
        <f t="shared" si="255"/>
        <v>945.1</v>
      </c>
      <c r="AS55" s="31">
        <f>SUM(AS56:AS58)</f>
        <v>775.1</v>
      </c>
      <c r="AT55" s="31">
        <f t="shared" si="255"/>
        <v>0</v>
      </c>
      <c r="AU55" s="31">
        <f t="shared" si="255"/>
        <v>0</v>
      </c>
      <c r="AV55" s="31">
        <f t="shared" si="255"/>
        <v>0</v>
      </c>
      <c r="AW55" s="31">
        <f t="shared" si="255"/>
        <v>775.1</v>
      </c>
      <c r="AX55" s="31">
        <f t="shared" si="255"/>
        <v>690.1</v>
      </c>
      <c r="AY55" s="31">
        <f t="shared" si="255"/>
        <v>0</v>
      </c>
      <c r="AZ55" s="31">
        <f t="shared" si="255"/>
        <v>0</v>
      </c>
      <c r="BA55" s="31">
        <f t="shared" si="255"/>
        <v>0</v>
      </c>
      <c r="BB55" s="31">
        <f t="shared" si="255"/>
        <v>690.1</v>
      </c>
      <c r="BC55" s="31">
        <f t="shared" si="255"/>
        <v>690.1</v>
      </c>
      <c r="BD55" s="31">
        <f t="shared" si="255"/>
        <v>0</v>
      </c>
      <c r="BE55" s="31">
        <f t="shared" si="255"/>
        <v>0</v>
      </c>
      <c r="BF55" s="31">
        <f t="shared" si="255"/>
        <v>0</v>
      </c>
      <c r="BG55" s="31">
        <f t="shared" si="255"/>
        <v>690.1</v>
      </c>
      <c r="BH55" s="31">
        <f t="shared" si="255"/>
        <v>690.1</v>
      </c>
      <c r="BI55" s="31">
        <f t="shared" si="255"/>
        <v>0</v>
      </c>
      <c r="BJ55" s="31">
        <f t="shared" si="255"/>
        <v>0</v>
      </c>
      <c r="BK55" s="31">
        <f t="shared" si="255"/>
        <v>0</v>
      </c>
      <c r="BL55" s="32">
        <f t="shared" si="255"/>
        <v>690.1</v>
      </c>
      <c r="BM55" s="30">
        <f>SUM(BM56:BM58)</f>
        <v>447.6</v>
      </c>
      <c r="BN55" s="31">
        <f t="shared" ref="BN55" si="256">SUM(BN56:BN58)</f>
        <v>447.6</v>
      </c>
      <c r="BO55" s="31">
        <f t="shared" ref="BO55" si="257">SUM(BO56:BO58)</f>
        <v>0</v>
      </c>
      <c r="BP55" s="31">
        <f t="shared" ref="BP55" si="258">SUM(BP56:BP58)</f>
        <v>0</v>
      </c>
      <c r="BQ55" s="31">
        <f t="shared" ref="BQ55" si="259">SUM(BQ56:BQ58)</f>
        <v>0</v>
      </c>
      <c r="BR55" s="31">
        <f t="shared" ref="BR55" si="260">SUM(BR56:BR58)</f>
        <v>0</v>
      </c>
      <c r="BS55" s="31">
        <f t="shared" ref="BS55" si="261">SUM(BS56:BS58)</f>
        <v>0</v>
      </c>
      <c r="BT55" s="31">
        <f t="shared" ref="BT55" si="262">SUM(BT56:BT58)</f>
        <v>0</v>
      </c>
      <c r="BU55" s="31">
        <f t="shared" ref="BU55" si="263">SUM(BU56:BU58)</f>
        <v>447.6</v>
      </c>
      <c r="BV55" s="32">
        <f t="shared" ref="BV55" si="264">SUM(BV56:BV58)</f>
        <v>447.6</v>
      </c>
      <c r="BW55" s="31">
        <f>SUM(BW56:BW58)</f>
        <v>406.6</v>
      </c>
      <c r="BX55" s="31">
        <f t="shared" ref="BX55" si="265">SUM(BX56:BX58)</f>
        <v>0</v>
      </c>
      <c r="BY55" s="31">
        <f t="shared" ref="BY55" si="266">SUM(BY56:BY58)</f>
        <v>0</v>
      </c>
      <c r="BZ55" s="31">
        <f t="shared" ref="BZ55" si="267">SUM(BZ56:BZ58)</f>
        <v>0</v>
      </c>
      <c r="CA55" s="31">
        <f t="shared" ref="CA55" si="268">SUM(CA56:CA58)</f>
        <v>406.6</v>
      </c>
      <c r="CB55" s="31">
        <f t="shared" ref="CB55" si="269">SUM(CB56:CB58)</f>
        <v>427.1</v>
      </c>
      <c r="CC55" s="31">
        <f t="shared" ref="CC55" si="270">SUM(CC56:CC58)</f>
        <v>0</v>
      </c>
      <c r="CD55" s="31">
        <f t="shared" ref="CD55" si="271">SUM(CD56:CD58)</f>
        <v>0</v>
      </c>
      <c r="CE55" s="31">
        <f t="shared" ref="CE55" si="272">SUM(CE56:CE58)</f>
        <v>0</v>
      </c>
      <c r="CF55" s="31">
        <f t="shared" ref="CF55" si="273">SUM(CF56:CF58)</f>
        <v>427.1</v>
      </c>
      <c r="CG55" s="31">
        <f t="shared" ref="CG55" si="274">SUM(CG56:CG58)</f>
        <v>427.1</v>
      </c>
      <c r="CH55" s="31">
        <f t="shared" ref="CH55" si="275">SUM(CH56:CH58)</f>
        <v>0</v>
      </c>
      <c r="CI55" s="31">
        <f t="shared" ref="CI55" si="276">SUM(CI56:CI58)</f>
        <v>0</v>
      </c>
      <c r="CJ55" s="31">
        <f t="shared" ref="CJ55" si="277">SUM(CJ56:CJ58)</f>
        <v>0</v>
      </c>
      <c r="CK55" s="31">
        <f t="shared" ref="CK55" si="278">SUM(CK56:CK58)</f>
        <v>427.1</v>
      </c>
      <c r="CL55" s="31">
        <f t="shared" ref="CL55" si="279">SUM(CL56:CL58)</f>
        <v>427.1</v>
      </c>
      <c r="CM55" s="31">
        <f t="shared" ref="CM55" si="280">SUM(CM56:CM58)</f>
        <v>0</v>
      </c>
      <c r="CN55" s="31">
        <f t="shared" ref="CN55" si="281">SUM(CN56:CN58)</f>
        <v>0</v>
      </c>
      <c r="CO55" s="31">
        <f t="shared" ref="CO55" si="282">SUM(CO56:CO58)</f>
        <v>0</v>
      </c>
      <c r="CP55" s="32">
        <f t="shared" ref="CP55" si="283">SUM(CP56:CP58)</f>
        <v>427.1</v>
      </c>
      <c r="CQ55" s="33">
        <v>1447.6</v>
      </c>
      <c r="CR55" s="34">
        <v>0</v>
      </c>
      <c r="CS55" s="34">
        <v>500</v>
      </c>
      <c r="CT55" s="34">
        <v>0</v>
      </c>
      <c r="CU55" s="35">
        <v>947.6</v>
      </c>
      <c r="CV55" s="30">
        <f>SUM(CV56:CV58)</f>
        <v>575.1</v>
      </c>
      <c r="CW55" s="31">
        <f t="shared" ref="CW55" si="284">SUM(CW56:CW58)</f>
        <v>0</v>
      </c>
      <c r="CX55" s="31">
        <f t="shared" ref="CX55" si="285">SUM(CX56:CX58)</f>
        <v>0</v>
      </c>
      <c r="CY55" s="31">
        <f t="shared" ref="CY55" si="286">SUM(CY56:CY58)</f>
        <v>0</v>
      </c>
      <c r="CZ55" s="32">
        <f t="shared" ref="CZ55" si="287">SUM(CZ56:CZ58)</f>
        <v>575.1</v>
      </c>
      <c r="DA55" s="30">
        <f t="shared" ref="DA55" si="288">SUM(DA56:DA58)</f>
        <v>427.1</v>
      </c>
      <c r="DB55" s="31">
        <f t="shared" ref="DB55" si="289">SUM(DB56:DB58)</f>
        <v>0</v>
      </c>
      <c r="DC55" s="31">
        <f t="shared" ref="DC55" si="290">SUM(DC56:DC58)</f>
        <v>0</v>
      </c>
      <c r="DD55" s="31">
        <f t="shared" ref="DD55" si="291">SUM(DD56:DD58)</f>
        <v>0</v>
      </c>
      <c r="DE55" s="32">
        <f t="shared" ref="DE55" si="292">SUM(DE56:DE58)</f>
        <v>427.1</v>
      </c>
      <c r="DF55" s="33">
        <v>447.6</v>
      </c>
      <c r="DG55" s="34">
        <v>0</v>
      </c>
      <c r="DH55" s="34">
        <v>0</v>
      </c>
      <c r="DI55" s="31">
        <f t="shared" ref="DI55" si="293">SUM(DI56:DI58)</f>
        <v>0</v>
      </c>
      <c r="DJ55" s="34">
        <v>447.6</v>
      </c>
      <c r="DK55" s="31">
        <f>SUM(DK56:DK58)</f>
        <v>406.6</v>
      </c>
      <c r="DL55" s="31">
        <f t="shared" ref="DL55" si="294">SUM(DL56:DL58)</f>
        <v>0</v>
      </c>
      <c r="DM55" s="31">
        <f t="shared" ref="DM55" si="295">SUM(DM56:DM58)</f>
        <v>0</v>
      </c>
      <c r="DN55" s="31">
        <f t="shared" ref="DN55" si="296">SUM(DN56:DN58)</f>
        <v>0</v>
      </c>
      <c r="DO55" s="31">
        <f t="shared" ref="DO55" si="297">SUM(DO56:DO58)</f>
        <v>406.6</v>
      </c>
      <c r="DP55" s="31">
        <f t="shared" ref="DP55" si="298">SUM(DP56:DP58)</f>
        <v>427.1</v>
      </c>
      <c r="DQ55" s="31">
        <f t="shared" ref="DQ55" si="299">SUM(DQ56:DQ58)</f>
        <v>0</v>
      </c>
      <c r="DR55" s="31">
        <f t="shared" ref="DR55" si="300">SUM(DR56:DR58)</f>
        <v>0</v>
      </c>
      <c r="DS55" s="31">
        <f t="shared" ref="DS55" si="301">SUM(DS56:DS58)</f>
        <v>0</v>
      </c>
      <c r="DT55" s="31">
        <f t="shared" ref="DT55" si="302">SUM(DT56:DT58)</f>
        <v>427.1</v>
      </c>
      <c r="DU55" s="36" t="s">
        <v>0</v>
      </c>
    </row>
    <row r="56" spans="1:125" s="37" customFormat="1" ht="202.5" x14ac:dyDescent="0.2">
      <c r="A56" s="38" t="s">
        <v>606</v>
      </c>
      <c r="B56" s="38" t="s">
        <v>607</v>
      </c>
      <c r="C56" s="39" t="s">
        <v>608</v>
      </c>
      <c r="D56" s="55" t="s">
        <v>609</v>
      </c>
      <c r="E56" s="55" t="s">
        <v>397</v>
      </c>
      <c r="F56" s="55" t="s">
        <v>610</v>
      </c>
      <c r="G56" s="55" t="s">
        <v>611</v>
      </c>
      <c r="H56" s="55" t="s">
        <v>397</v>
      </c>
      <c r="I56" s="55" t="s">
        <v>612</v>
      </c>
      <c r="J56" s="55">
        <v>18</v>
      </c>
      <c r="K56" s="55" t="s">
        <v>0</v>
      </c>
      <c r="L56" s="55" t="s">
        <v>0</v>
      </c>
      <c r="M56" s="55" t="s">
        <v>0</v>
      </c>
      <c r="N56" s="55" t="s">
        <v>0</v>
      </c>
      <c r="O56" s="55" t="s">
        <v>0</v>
      </c>
      <c r="P56" s="55" t="s">
        <v>0</v>
      </c>
      <c r="Q56" s="55" t="s">
        <v>0</v>
      </c>
      <c r="R56" s="55" t="s">
        <v>0</v>
      </c>
      <c r="S56" s="55" t="s">
        <v>0</v>
      </c>
      <c r="T56" s="55" t="s">
        <v>0</v>
      </c>
      <c r="U56" s="55" t="s">
        <v>0</v>
      </c>
      <c r="V56" s="55" t="s">
        <v>0</v>
      </c>
      <c r="W56" s="55" t="s">
        <v>0</v>
      </c>
      <c r="X56" s="55" t="s">
        <v>613</v>
      </c>
      <c r="Y56" s="55" t="s">
        <v>397</v>
      </c>
      <c r="Z56" s="55" t="s">
        <v>614</v>
      </c>
      <c r="AA56" s="55" t="s">
        <v>0</v>
      </c>
      <c r="AB56" s="55" t="s">
        <v>0</v>
      </c>
      <c r="AC56" s="55" t="s">
        <v>0</v>
      </c>
      <c r="AD56" s="55" t="s">
        <v>683</v>
      </c>
      <c r="AE56" s="41"/>
      <c r="AF56" s="41"/>
      <c r="AG56" s="42" t="s">
        <v>69</v>
      </c>
      <c r="AH56" s="43" t="s">
        <v>615</v>
      </c>
      <c r="AI56" s="44">
        <v>148.69</v>
      </c>
      <c r="AJ56" s="45">
        <v>148.69</v>
      </c>
      <c r="AK56" s="31"/>
      <c r="AL56" s="31"/>
      <c r="AM56" s="31"/>
      <c r="AN56" s="31"/>
      <c r="AO56" s="31"/>
      <c r="AP56" s="31"/>
      <c r="AQ56" s="45">
        <v>148.69</v>
      </c>
      <c r="AR56" s="45">
        <v>148.69</v>
      </c>
      <c r="AS56" s="45">
        <f>AW56</f>
        <v>425</v>
      </c>
      <c r="AT56" s="45"/>
      <c r="AU56" s="45"/>
      <c r="AV56" s="45"/>
      <c r="AW56" s="45">
        <v>425</v>
      </c>
      <c r="AX56" s="45">
        <f>BB56</f>
        <v>375</v>
      </c>
      <c r="AY56" s="31"/>
      <c r="AZ56" s="31"/>
      <c r="BA56" s="31"/>
      <c r="BB56" s="45">
        <v>375</v>
      </c>
      <c r="BC56" s="45">
        <f>BG56</f>
        <v>375</v>
      </c>
      <c r="BD56" s="31"/>
      <c r="BE56" s="31"/>
      <c r="BF56" s="31"/>
      <c r="BG56" s="45">
        <v>375</v>
      </c>
      <c r="BH56" s="45">
        <f>BL56</f>
        <v>375</v>
      </c>
      <c r="BI56" s="31"/>
      <c r="BJ56" s="31"/>
      <c r="BK56" s="31"/>
      <c r="BL56" s="45">
        <v>375</v>
      </c>
      <c r="BM56" s="44">
        <v>148.69</v>
      </c>
      <c r="BN56" s="45">
        <v>148.69</v>
      </c>
      <c r="BO56" s="31"/>
      <c r="BP56" s="31"/>
      <c r="BQ56" s="31"/>
      <c r="BR56" s="31"/>
      <c r="BS56" s="31"/>
      <c r="BT56" s="31"/>
      <c r="BU56" s="45">
        <v>148.69</v>
      </c>
      <c r="BV56" s="49">
        <v>148.69</v>
      </c>
      <c r="BW56" s="45">
        <f>CA56</f>
        <v>156.5</v>
      </c>
      <c r="BX56" s="45"/>
      <c r="BY56" s="45"/>
      <c r="BZ56" s="45"/>
      <c r="CA56" s="45">
        <f>325-168.5</f>
        <v>156.5</v>
      </c>
      <c r="CB56" s="45">
        <f>CF56</f>
        <v>177</v>
      </c>
      <c r="CC56" s="31"/>
      <c r="CD56" s="31"/>
      <c r="CE56" s="31"/>
      <c r="CF56" s="45">
        <v>177</v>
      </c>
      <c r="CG56" s="45">
        <f>CK56</f>
        <v>177</v>
      </c>
      <c r="CH56" s="31"/>
      <c r="CI56" s="31"/>
      <c r="CJ56" s="31"/>
      <c r="CK56" s="45">
        <v>177</v>
      </c>
      <c r="CL56" s="45">
        <f>CP56</f>
        <v>177</v>
      </c>
      <c r="CM56" s="31"/>
      <c r="CN56" s="31"/>
      <c r="CO56" s="31"/>
      <c r="CP56" s="45">
        <v>177</v>
      </c>
      <c r="CQ56" s="33">
        <v>148.69</v>
      </c>
      <c r="CR56" s="34"/>
      <c r="CS56" s="34"/>
      <c r="CT56" s="34"/>
      <c r="CU56" s="35">
        <v>148.69</v>
      </c>
      <c r="CV56" s="44">
        <f>CZ56</f>
        <v>325</v>
      </c>
      <c r="CW56" s="45"/>
      <c r="CX56" s="45"/>
      <c r="CY56" s="45"/>
      <c r="CZ56" s="49">
        <f>325</f>
        <v>325</v>
      </c>
      <c r="DA56" s="44">
        <f>DE56</f>
        <v>177</v>
      </c>
      <c r="DB56" s="31"/>
      <c r="DC56" s="31"/>
      <c r="DD56" s="31"/>
      <c r="DE56" s="49">
        <v>177</v>
      </c>
      <c r="DF56" s="33">
        <v>148.69</v>
      </c>
      <c r="DG56" s="34"/>
      <c r="DH56" s="34"/>
      <c r="DI56" s="31"/>
      <c r="DJ56" s="46">
        <v>148.69</v>
      </c>
      <c r="DK56" s="45">
        <f>DO56</f>
        <v>156.5</v>
      </c>
      <c r="DL56" s="45"/>
      <c r="DM56" s="45"/>
      <c r="DN56" s="45"/>
      <c r="DO56" s="45">
        <f>325-168.5</f>
        <v>156.5</v>
      </c>
      <c r="DP56" s="45">
        <f>DT56</f>
        <v>177</v>
      </c>
      <c r="DQ56" s="31"/>
      <c r="DR56" s="31"/>
      <c r="DS56" s="31"/>
      <c r="DT56" s="45">
        <v>177</v>
      </c>
      <c r="DU56" s="36"/>
    </row>
    <row r="57" spans="1:125" customFormat="1" ht="123.75" x14ac:dyDescent="0.2">
      <c r="A57" s="38" t="s">
        <v>289</v>
      </c>
      <c r="B57" s="38" t="s">
        <v>290</v>
      </c>
      <c r="C57" s="39" t="s">
        <v>291</v>
      </c>
      <c r="D57" s="40" t="s">
        <v>427</v>
      </c>
      <c r="E57" s="41" t="s">
        <v>0</v>
      </c>
      <c r="F57" s="41" t="s">
        <v>0</v>
      </c>
      <c r="G57" s="41" t="s">
        <v>0</v>
      </c>
      <c r="H57" s="41" t="s">
        <v>0</v>
      </c>
      <c r="I57" s="41" t="s">
        <v>0</v>
      </c>
      <c r="J57" s="41" t="s">
        <v>0</v>
      </c>
      <c r="K57" s="41" t="s">
        <v>0</v>
      </c>
      <c r="L57" s="41" t="s">
        <v>0</v>
      </c>
      <c r="M57" s="41" t="s">
        <v>0</v>
      </c>
      <c r="N57" s="41" t="s">
        <v>0</v>
      </c>
      <c r="O57" s="41" t="s">
        <v>0</v>
      </c>
      <c r="P57" s="41" t="s">
        <v>0</v>
      </c>
      <c r="Q57" s="41" t="s">
        <v>0</v>
      </c>
      <c r="R57" s="41" t="s">
        <v>0</v>
      </c>
      <c r="S57" s="41" t="s">
        <v>0</v>
      </c>
      <c r="T57" s="41" t="s">
        <v>0</v>
      </c>
      <c r="U57" s="41" t="s">
        <v>0</v>
      </c>
      <c r="V57" s="41" t="s">
        <v>0</v>
      </c>
      <c r="W57" s="41" t="s">
        <v>0</v>
      </c>
      <c r="X57" s="41" t="s">
        <v>0</v>
      </c>
      <c r="Y57" s="41" t="s">
        <v>0</v>
      </c>
      <c r="Z57" s="41" t="s">
        <v>0</v>
      </c>
      <c r="AA57" s="41" t="s">
        <v>0</v>
      </c>
      <c r="AB57" s="41" t="s">
        <v>0</v>
      </c>
      <c r="AC57" s="41" t="s">
        <v>0</v>
      </c>
      <c r="AD57" s="41" t="s">
        <v>503</v>
      </c>
      <c r="AE57" s="41"/>
      <c r="AF57" s="41"/>
      <c r="AG57" s="42" t="s">
        <v>69</v>
      </c>
      <c r="AH57" s="43" t="s">
        <v>292</v>
      </c>
      <c r="AI57" s="44">
        <v>298.91000000000003</v>
      </c>
      <c r="AJ57" s="45">
        <v>298.91000000000003</v>
      </c>
      <c r="AK57" s="45">
        <v>0</v>
      </c>
      <c r="AL57" s="52">
        <v>0</v>
      </c>
      <c r="AM57" s="45">
        <v>0</v>
      </c>
      <c r="AN57" s="45">
        <v>0</v>
      </c>
      <c r="AO57" s="45">
        <v>0</v>
      </c>
      <c r="AP57" s="45">
        <v>0</v>
      </c>
      <c r="AQ57" s="45">
        <v>298.91000000000003</v>
      </c>
      <c r="AR57" s="45">
        <v>298.91000000000003</v>
      </c>
      <c r="AS57" s="45">
        <f>SUM(AT57:AW57)</f>
        <v>350.1</v>
      </c>
      <c r="AT57" s="45">
        <v>0</v>
      </c>
      <c r="AU57" s="45">
        <v>0</v>
      </c>
      <c r="AV57" s="45">
        <v>0</v>
      </c>
      <c r="AW57" s="45">
        <v>350.1</v>
      </c>
      <c r="AX57" s="45">
        <f>SUM(AY57:BB57)</f>
        <v>315.10000000000002</v>
      </c>
      <c r="AY57" s="45">
        <v>0</v>
      </c>
      <c r="AZ57" s="45">
        <v>0</v>
      </c>
      <c r="BA57" s="45">
        <v>0</v>
      </c>
      <c r="BB57" s="45">
        <v>315.10000000000002</v>
      </c>
      <c r="BC57" s="45">
        <f>BG57</f>
        <v>315.10000000000002</v>
      </c>
      <c r="BD57" s="45">
        <v>0</v>
      </c>
      <c r="BE57" s="45">
        <v>0</v>
      </c>
      <c r="BF57" s="45">
        <v>0</v>
      </c>
      <c r="BG57" s="45">
        <v>315.10000000000002</v>
      </c>
      <c r="BH57" s="45">
        <f>BL57</f>
        <v>315.10000000000002</v>
      </c>
      <c r="BI57" s="45">
        <v>0</v>
      </c>
      <c r="BJ57" s="45">
        <v>0</v>
      </c>
      <c r="BK57" s="45">
        <v>0</v>
      </c>
      <c r="BL57" s="45">
        <v>315.10000000000002</v>
      </c>
      <c r="BM57" s="44">
        <v>298.91000000000003</v>
      </c>
      <c r="BN57" s="45">
        <v>298.91000000000003</v>
      </c>
      <c r="BO57" s="45">
        <v>0</v>
      </c>
      <c r="BP57" s="52">
        <v>0</v>
      </c>
      <c r="BQ57" s="45">
        <v>0</v>
      </c>
      <c r="BR57" s="45">
        <v>0</v>
      </c>
      <c r="BS57" s="45">
        <v>0</v>
      </c>
      <c r="BT57" s="45">
        <v>0</v>
      </c>
      <c r="BU57" s="45">
        <v>298.91000000000003</v>
      </c>
      <c r="BV57" s="49">
        <v>298.91000000000003</v>
      </c>
      <c r="BW57" s="45">
        <v>250.1</v>
      </c>
      <c r="BX57" s="45">
        <v>0</v>
      </c>
      <c r="BY57" s="45">
        <v>0</v>
      </c>
      <c r="BZ57" s="45">
        <v>0</v>
      </c>
      <c r="CA57" s="45">
        <f>BW57</f>
        <v>250.1</v>
      </c>
      <c r="CB57" s="45">
        <v>250.1</v>
      </c>
      <c r="CC57" s="45">
        <v>0</v>
      </c>
      <c r="CD57" s="45">
        <v>0</v>
      </c>
      <c r="CE57" s="45">
        <v>0</v>
      </c>
      <c r="CF57" s="45">
        <f>CB57</f>
        <v>250.1</v>
      </c>
      <c r="CG57" s="45">
        <v>250.1</v>
      </c>
      <c r="CH57" s="45">
        <v>0</v>
      </c>
      <c r="CI57" s="45">
        <v>0</v>
      </c>
      <c r="CJ57" s="45">
        <v>0</v>
      </c>
      <c r="CK57" s="45">
        <f>CG57</f>
        <v>250.1</v>
      </c>
      <c r="CL57" s="45">
        <v>250.1</v>
      </c>
      <c r="CM57" s="45">
        <v>0</v>
      </c>
      <c r="CN57" s="45">
        <v>0</v>
      </c>
      <c r="CO57" s="45">
        <v>0</v>
      </c>
      <c r="CP57" s="49">
        <f>CL57</f>
        <v>250.1</v>
      </c>
      <c r="CQ57" s="48">
        <v>298.91000000000003</v>
      </c>
      <c r="CR57" s="46">
        <v>0</v>
      </c>
      <c r="CS57" s="46">
        <v>0</v>
      </c>
      <c r="CT57" s="46">
        <v>0</v>
      </c>
      <c r="CU57" s="47">
        <v>298.91000000000003</v>
      </c>
      <c r="CV57" s="44">
        <v>250.1</v>
      </c>
      <c r="CW57" s="45">
        <v>0</v>
      </c>
      <c r="CX57" s="45">
        <v>0</v>
      </c>
      <c r="CY57" s="45">
        <v>0</v>
      </c>
      <c r="CZ57" s="49">
        <f>CV57</f>
        <v>250.1</v>
      </c>
      <c r="DA57" s="44">
        <v>250.1</v>
      </c>
      <c r="DB57" s="45">
        <v>0</v>
      </c>
      <c r="DC57" s="45">
        <v>0</v>
      </c>
      <c r="DD57" s="45">
        <v>0</v>
      </c>
      <c r="DE57" s="49">
        <f>DA57</f>
        <v>250.1</v>
      </c>
      <c r="DF57" s="48">
        <v>298.91000000000003</v>
      </c>
      <c r="DG57" s="46">
        <v>0</v>
      </c>
      <c r="DH57" s="46">
        <v>0</v>
      </c>
      <c r="DI57" s="45">
        <v>0</v>
      </c>
      <c r="DJ57" s="46">
        <v>298.91000000000003</v>
      </c>
      <c r="DK57" s="45">
        <v>250.1</v>
      </c>
      <c r="DL57" s="45">
        <v>0</v>
      </c>
      <c r="DM57" s="45">
        <v>0</v>
      </c>
      <c r="DN57" s="45">
        <v>0</v>
      </c>
      <c r="DO57" s="45">
        <f>DK57</f>
        <v>250.1</v>
      </c>
      <c r="DP57" s="45">
        <v>250.1</v>
      </c>
      <c r="DQ57" s="45">
        <v>0</v>
      </c>
      <c r="DR57" s="45">
        <v>0</v>
      </c>
      <c r="DS57" s="45">
        <v>0</v>
      </c>
      <c r="DT57" s="45">
        <f>DP57</f>
        <v>250.1</v>
      </c>
      <c r="DU57" s="50" t="s">
        <v>190</v>
      </c>
    </row>
    <row r="58" spans="1:125" customFormat="1" ht="112.5" x14ac:dyDescent="0.2">
      <c r="A58" s="38" t="s">
        <v>659</v>
      </c>
      <c r="B58" s="38" t="s">
        <v>660</v>
      </c>
      <c r="C58" s="39" t="s">
        <v>661</v>
      </c>
      <c r="D58" s="40" t="s">
        <v>427</v>
      </c>
      <c r="E58" s="41" t="s">
        <v>0</v>
      </c>
      <c r="F58" s="41" t="s">
        <v>0</v>
      </c>
      <c r="G58" s="41" t="s">
        <v>0</v>
      </c>
      <c r="H58" s="41" t="s">
        <v>0</v>
      </c>
      <c r="I58" s="41" t="s">
        <v>0</v>
      </c>
      <c r="J58" s="41" t="s">
        <v>0</v>
      </c>
      <c r="K58" s="41" t="s">
        <v>0</v>
      </c>
      <c r="L58" s="41" t="s">
        <v>0</v>
      </c>
      <c r="M58" s="41" t="s">
        <v>0</v>
      </c>
      <c r="N58" s="41" t="s">
        <v>0</v>
      </c>
      <c r="O58" s="41" t="s">
        <v>0</v>
      </c>
      <c r="P58" s="41" t="s">
        <v>0</v>
      </c>
      <c r="Q58" s="41" t="s">
        <v>0</v>
      </c>
      <c r="R58" s="41" t="s">
        <v>0</v>
      </c>
      <c r="S58" s="41" t="s">
        <v>0</v>
      </c>
      <c r="T58" s="41" t="s">
        <v>0</v>
      </c>
      <c r="U58" s="41" t="s">
        <v>0</v>
      </c>
      <c r="V58" s="41" t="s">
        <v>0</v>
      </c>
      <c r="W58" s="41" t="s">
        <v>0</v>
      </c>
      <c r="X58" s="41" t="s">
        <v>0</v>
      </c>
      <c r="Y58" s="41" t="s">
        <v>0</v>
      </c>
      <c r="Z58" s="41" t="s">
        <v>0</v>
      </c>
      <c r="AA58" s="41" t="s">
        <v>0</v>
      </c>
      <c r="AB58" s="41" t="s">
        <v>0</v>
      </c>
      <c r="AC58" s="41" t="s">
        <v>0</v>
      </c>
      <c r="AD58" s="41" t="s">
        <v>684</v>
      </c>
      <c r="AE58" s="41"/>
      <c r="AF58" s="41"/>
      <c r="AG58" s="42" t="s">
        <v>69</v>
      </c>
      <c r="AH58" s="43" t="s">
        <v>662</v>
      </c>
      <c r="AI58" s="44">
        <f>AM58+AQ58</f>
        <v>1000</v>
      </c>
      <c r="AJ58" s="45">
        <f>AN58+AR58</f>
        <v>995</v>
      </c>
      <c r="AK58" s="45"/>
      <c r="AL58" s="52"/>
      <c r="AM58" s="45">
        <v>500</v>
      </c>
      <c r="AN58" s="45">
        <v>497.5</v>
      </c>
      <c r="AO58" s="45"/>
      <c r="AP58" s="45"/>
      <c r="AQ58" s="45">
        <v>500</v>
      </c>
      <c r="AR58" s="45">
        <v>497.5</v>
      </c>
      <c r="AS58" s="45"/>
      <c r="AT58" s="45"/>
      <c r="AU58" s="45"/>
      <c r="AV58" s="45"/>
      <c r="AW58" s="45"/>
      <c r="AX58" s="45"/>
      <c r="AY58" s="45"/>
      <c r="AZ58" s="45"/>
      <c r="BA58" s="45"/>
      <c r="BB58" s="45"/>
      <c r="BC58" s="45"/>
      <c r="BD58" s="45"/>
      <c r="BE58" s="45"/>
      <c r="BF58" s="45"/>
      <c r="BG58" s="45"/>
      <c r="BH58" s="45"/>
      <c r="BI58" s="45"/>
      <c r="BJ58" s="45"/>
      <c r="BK58" s="45"/>
      <c r="BL58" s="49"/>
      <c r="BM58" s="44">
        <f>BQ58+BU58</f>
        <v>0</v>
      </c>
      <c r="BN58" s="45">
        <f>BR58+BV58</f>
        <v>0</v>
      </c>
      <c r="BO58" s="45"/>
      <c r="BP58" s="52"/>
      <c r="BQ58" s="45"/>
      <c r="BR58" s="45"/>
      <c r="BS58" s="45"/>
      <c r="BT58" s="45"/>
      <c r="BU58" s="45"/>
      <c r="BV58" s="49"/>
      <c r="BW58" s="45"/>
      <c r="BX58" s="45"/>
      <c r="BY58" s="45"/>
      <c r="BZ58" s="45"/>
      <c r="CA58" s="45"/>
      <c r="CB58" s="45"/>
      <c r="CC58" s="45"/>
      <c r="CD58" s="45"/>
      <c r="CE58" s="45"/>
      <c r="CF58" s="45"/>
      <c r="CG58" s="45"/>
      <c r="CH58" s="45"/>
      <c r="CI58" s="45"/>
      <c r="CJ58" s="45"/>
      <c r="CK58" s="45"/>
      <c r="CL58" s="45"/>
      <c r="CM58" s="45"/>
      <c r="CN58" s="45"/>
      <c r="CO58" s="45"/>
      <c r="CP58" s="49"/>
      <c r="CQ58" s="48">
        <v>1000</v>
      </c>
      <c r="CR58" s="46"/>
      <c r="CS58" s="46">
        <v>500</v>
      </c>
      <c r="CT58" s="46"/>
      <c r="CU58" s="47">
        <v>500</v>
      </c>
      <c r="CV58" s="44"/>
      <c r="CW58" s="45"/>
      <c r="CX58" s="45"/>
      <c r="CY58" s="45"/>
      <c r="CZ58" s="49"/>
      <c r="DA58" s="44"/>
      <c r="DB58" s="45"/>
      <c r="DC58" s="45"/>
      <c r="DD58" s="45"/>
      <c r="DE58" s="49"/>
      <c r="DF58" s="48">
        <v>0</v>
      </c>
      <c r="DG58" s="46"/>
      <c r="DH58" s="46"/>
      <c r="DI58" s="45"/>
      <c r="DJ58" s="46"/>
      <c r="DK58" s="45"/>
      <c r="DL58" s="45"/>
      <c r="DM58" s="45"/>
      <c r="DN58" s="45"/>
      <c r="DO58" s="45"/>
      <c r="DP58" s="45"/>
      <c r="DQ58" s="45"/>
      <c r="DR58" s="45"/>
      <c r="DS58" s="45"/>
      <c r="DT58" s="45"/>
      <c r="DU58" s="50"/>
    </row>
    <row r="59" spans="1:125" s="37" customFormat="1" ht="73.5" x14ac:dyDescent="0.2">
      <c r="A59" s="26" t="s">
        <v>293</v>
      </c>
      <c r="B59" s="26" t="s">
        <v>294</v>
      </c>
      <c r="C59" s="27" t="s">
        <v>295</v>
      </c>
      <c r="D59" s="71" t="s">
        <v>168</v>
      </c>
      <c r="E59" s="71" t="s">
        <v>168</v>
      </c>
      <c r="F59" s="71" t="s">
        <v>168</v>
      </c>
      <c r="G59" s="71" t="s">
        <v>168</v>
      </c>
      <c r="H59" s="71" t="s">
        <v>168</v>
      </c>
      <c r="I59" s="71" t="s">
        <v>168</v>
      </c>
      <c r="J59" s="71" t="s">
        <v>168</v>
      </c>
      <c r="K59" s="71" t="s">
        <v>168</v>
      </c>
      <c r="L59" s="71" t="s">
        <v>168</v>
      </c>
      <c r="M59" s="71" t="s">
        <v>168</v>
      </c>
      <c r="N59" s="71" t="s">
        <v>168</v>
      </c>
      <c r="O59" s="71" t="s">
        <v>168</v>
      </c>
      <c r="P59" s="71" t="s">
        <v>168</v>
      </c>
      <c r="Q59" s="71" t="s">
        <v>168</v>
      </c>
      <c r="R59" s="71" t="s">
        <v>168</v>
      </c>
      <c r="S59" s="71" t="s">
        <v>168</v>
      </c>
      <c r="T59" s="71" t="s">
        <v>168</v>
      </c>
      <c r="U59" s="71" t="s">
        <v>168</v>
      </c>
      <c r="V59" s="71" t="s">
        <v>168</v>
      </c>
      <c r="W59" s="71" t="s">
        <v>168</v>
      </c>
      <c r="X59" s="71" t="s">
        <v>168</v>
      </c>
      <c r="Y59" s="71" t="s">
        <v>168</v>
      </c>
      <c r="Z59" s="71" t="s">
        <v>168</v>
      </c>
      <c r="AA59" s="71" t="s">
        <v>168</v>
      </c>
      <c r="AB59" s="71" t="s">
        <v>168</v>
      </c>
      <c r="AC59" s="71" t="s">
        <v>168</v>
      </c>
      <c r="AD59" s="71" t="s">
        <v>168</v>
      </c>
      <c r="AE59" s="28" t="s">
        <v>168</v>
      </c>
      <c r="AF59" s="28" t="s">
        <v>168</v>
      </c>
      <c r="AG59" s="28" t="s">
        <v>168</v>
      </c>
      <c r="AH59" s="29" t="s">
        <v>168</v>
      </c>
      <c r="AI59" s="30">
        <f>AI60</f>
        <v>33184.68</v>
      </c>
      <c r="AJ59" s="31">
        <f t="shared" ref="AJ59:BV59" si="303">AJ60</f>
        <v>28811.21</v>
      </c>
      <c r="AK59" s="31">
        <f t="shared" si="303"/>
        <v>0</v>
      </c>
      <c r="AL59" s="31">
        <f t="shared" si="303"/>
        <v>0</v>
      </c>
      <c r="AM59" s="31">
        <f t="shared" si="303"/>
        <v>0</v>
      </c>
      <c r="AN59" s="31">
        <f t="shared" si="303"/>
        <v>0</v>
      </c>
      <c r="AO59" s="31">
        <f t="shared" si="303"/>
        <v>0</v>
      </c>
      <c r="AP59" s="31">
        <f t="shared" si="303"/>
        <v>0</v>
      </c>
      <c r="AQ59" s="31">
        <f t="shared" si="303"/>
        <v>33184.68</v>
      </c>
      <c r="AR59" s="31">
        <f t="shared" si="303"/>
        <v>28811.21</v>
      </c>
      <c r="AS59" s="31">
        <f>AS60</f>
        <v>37145.5</v>
      </c>
      <c r="AT59" s="31">
        <f t="shared" ref="AT59" si="304">AT60</f>
        <v>0</v>
      </c>
      <c r="AU59" s="31">
        <f t="shared" ref="AU59" si="305">AU60</f>
        <v>0</v>
      </c>
      <c r="AV59" s="31">
        <f t="shared" ref="AV59" si="306">AV60</f>
        <v>0</v>
      </c>
      <c r="AW59" s="31">
        <f t="shared" ref="AW59" si="307">AW60</f>
        <v>37145.5</v>
      </c>
      <c r="AX59" s="31">
        <f t="shared" ref="AX59" si="308">AX60</f>
        <v>11283</v>
      </c>
      <c r="AY59" s="31">
        <f t="shared" ref="AY59" si="309">AY60</f>
        <v>0</v>
      </c>
      <c r="AZ59" s="31">
        <f t="shared" ref="AZ59" si="310">AZ60</f>
        <v>0</v>
      </c>
      <c r="BA59" s="31">
        <f t="shared" ref="BA59" si="311">BA60</f>
        <v>0</v>
      </c>
      <c r="BB59" s="31">
        <f t="shared" ref="BB59" si="312">BB60</f>
        <v>11283</v>
      </c>
      <c r="BC59" s="31">
        <f t="shared" ref="BC59" si="313">BC60</f>
        <v>11283</v>
      </c>
      <c r="BD59" s="31">
        <f t="shared" ref="BD59" si="314">BD60</f>
        <v>0</v>
      </c>
      <c r="BE59" s="31">
        <f t="shared" ref="BE59" si="315">BE60</f>
        <v>0</v>
      </c>
      <c r="BF59" s="31">
        <f t="shared" ref="BF59" si="316">BF60</f>
        <v>0</v>
      </c>
      <c r="BG59" s="31">
        <f t="shared" ref="BG59" si="317">BG60</f>
        <v>11283</v>
      </c>
      <c r="BH59" s="31">
        <f t="shared" ref="BH59" si="318">BH60</f>
        <v>11283</v>
      </c>
      <c r="BI59" s="31">
        <f t="shared" ref="BI59" si="319">BI60</f>
        <v>0</v>
      </c>
      <c r="BJ59" s="31">
        <f t="shared" ref="BJ59" si="320">BJ60</f>
        <v>0</v>
      </c>
      <c r="BK59" s="31">
        <f t="shared" ref="BK59" si="321">BK60</f>
        <v>0</v>
      </c>
      <c r="BL59" s="32">
        <f t="shared" ref="BL59" si="322">BL60</f>
        <v>11283</v>
      </c>
      <c r="BM59" s="30">
        <f>BM60</f>
        <v>33184.68</v>
      </c>
      <c r="BN59" s="31">
        <f t="shared" si="303"/>
        <v>28811.21</v>
      </c>
      <c r="BO59" s="31">
        <f t="shared" si="303"/>
        <v>0</v>
      </c>
      <c r="BP59" s="31">
        <f t="shared" si="303"/>
        <v>0</v>
      </c>
      <c r="BQ59" s="31">
        <f t="shared" si="303"/>
        <v>0</v>
      </c>
      <c r="BR59" s="31">
        <f t="shared" si="303"/>
        <v>0</v>
      </c>
      <c r="BS59" s="31">
        <f t="shared" si="303"/>
        <v>0</v>
      </c>
      <c r="BT59" s="31">
        <f t="shared" si="303"/>
        <v>0</v>
      </c>
      <c r="BU59" s="31">
        <f t="shared" si="303"/>
        <v>33184.68</v>
      </c>
      <c r="BV59" s="32">
        <f t="shared" si="303"/>
        <v>28811.21</v>
      </c>
      <c r="BW59" s="31">
        <f>BW60</f>
        <v>30458.41</v>
      </c>
      <c r="BX59" s="31">
        <f t="shared" ref="BX59:CA59" si="323">BX60</f>
        <v>0</v>
      </c>
      <c r="BY59" s="31">
        <f t="shared" si="323"/>
        <v>0</v>
      </c>
      <c r="BZ59" s="31">
        <f t="shared" si="323"/>
        <v>0</v>
      </c>
      <c r="CA59" s="31">
        <f t="shared" si="323"/>
        <v>30458.41</v>
      </c>
      <c r="CB59" s="31">
        <f t="shared" ref="CB59:CP59" si="324">CB60</f>
        <v>20874.309999999998</v>
      </c>
      <c r="CC59" s="31">
        <f t="shared" si="324"/>
        <v>0</v>
      </c>
      <c r="CD59" s="31">
        <f t="shared" si="324"/>
        <v>0</v>
      </c>
      <c r="CE59" s="31">
        <f t="shared" si="324"/>
        <v>0</v>
      </c>
      <c r="CF59" s="31">
        <f t="shared" si="324"/>
        <v>20874.309999999998</v>
      </c>
      <c r="CG59" s="31">
        <f t="shared" si="324"/>
        <v>20874.309999999998</v>
      </c>
      <c r="CH59" s="31">
        <f t="shared" si="324"/>
        <v>0</v>
      </c>
      <c r="CI59" s="31">
        <f t="shared" si="324"/>
        <v>0</v>
      </c>
      <c r="CJ59" s="31">
        <f t="shared" si="324"/>
        <v>0</v>
      </c>
      <c r="CK59" s="31">
        <f t="shared" si="324"/>
        <v>20874.309999999998</v>
      </c>
      <c r="CL59" s="31">
        <f t="shared" si="324"/>
        <v>20874.309999999998</v>
      </c>
      <c r="CM59" s="31">
        <f t="shared" si="324"/>
        <v>0</v>
      </c>
      <c r="CN59" s="31">
        <f t="shared" si="324"/>
        <v>0</v>
      </c>
      <c r="CO59" s="31">
        <f t="shared" si="324"/>
        <v>0</v>
      </c>
      <c r="CP59" s="32">
        <f t="shared" si="324"/>
        <v>20874.309999999998</v>
      </c>
      <c r="CQ59" s="33">
        <v>33184.68</v>
      </c>
      <c r="CR59" s="34">
        <v>0</v>
      </c>
      <c r="CS59" s="34">
        <v>0</v>
      </c>
      <c r="CT59" s="34">
        <v>0</v>
      </c>
      <c r="CU59" s="35">
        <v>33184.68</v>
      </c>
      <c r="CV59" s="30">
        <f>CV60</f>
        <v>30458.41</v>
      </c>
      <c r="CW59" s="31">
        <f t="shared" ref="CW59:DE59" si="325">CW60</f>
        <v>0</v>
      </c>
      <c r="CX59" s="31">
        <f t="shared" si="325"/>
        <v>0</v>
      </c>
      <c r="CY59" s="31">
        <f t="shared" si="325"/>
        <v>0</v>
      </c>
      <c r="CZ59" s="32">
        <f t="shared" si="325"/>
        <v>30458.41</v>
      </c>
      <c r="DA59" s="30">
        <f t="shared" si="325"/>
        <v>20874.309999999998</v>
      </c>
      <c r="DB59" s="31">
        <f t="shared" si="325"/>
        <v>0</v>
      </c>
      <c r="DC59" s="31">
        <f t="shared" si="325"/>
        <v>0</v>
      </c>
      <c r="DD59" s="31">
        <f t="shared" si="325"/>
        <v>0</v>
      </c>
      <c r="DE59" s="32">
        <f t="shared" si="325"/>
        <v>20874.309999999998</v>
      </c>
      <c r="DF59" s="33">
        <v>33184.68</v>
      </c>
      <c r="DG59" s="34">
        <v>0</v>
      </c>
      <c r="DH59" s="34">
        <v>0</v>
      </c>
      <c r="DI59" s="31">
        <f t="shared" ref="DI59" si="326">DI60</f>
        <v>0</v>
      </c>
      <c r="DJ59" s="34">
        <v>33184.68</v>
      </c>
      <c r="DK59" s="31">
        <f>DK60</f>
        <v>30458.41</v>
      </c>
      <c r="DL59" s="31">
        <f t="shared" ref="DL59:DT59" si="327">DL60</f>
        <v>0</v>
      </c>
      <c r="DM59" s="31">
        <f t="shared" si="327"/>
        <v>0</v>
      </c>
      <c r="DN59" s="31">
        <f t="shared" si="327"/>
        <v>0</v>
      </c>
      <c r="DO59" s="31">
        <f t="shared" si="327"/>
        <v>30458.41</v>
      </c>
      <c r="DP59" s="31">
        <f t="shared" si="327"/>
        <v>20874.309999999998</v>
      </c>
      <c r="DQ59" s="31">
        <f t="shared" si="327"/>
        <v>0</v>
      </c>
      <c r="DR59" s="31">
        <f t="shared" si="327"/>
        <v>0</v>
      </c>
      <c r="DS59" s="31">
        <f t="shared" si="327"/>
        <v>0</v>
      </c>
      <c r="DT59" s="31">
        <f t="shared" si="327"/>
        <v>20874.309999999998</v>
      </c>
      <c r="DU59" s="36" t="s">
        <v>0</v>
      </c>
    </row>
    <row r="60" spans="1:125" customFormat="1" ht="326.25" x14ac:dyDescent="0.2">
      <c r="A60" s="38" t="s">
        <v>296</v>
      </c>
      <c r="B60" s="38" t="s">
        <v>297</v>
      </c>
      <c r="C60" s="39" t="s">
        <v>298</v>
      </c>
      <c r="D60" s="40" t="s">
        <v>427</v>
      </c>
      <c r="E60" s="40" t="s">
        <v>0</v>
      </c>
      <c r="F60" s="40" t="s">
        <v>0</v>
      </c>
      <c r="G60" s="40" t="s">
        <v>0</v>
      </c>
      <c r="H60" s="40" t="s">
        <v>0</v>
      </c>
      <c r="I60" s="40" t="s">
        <v>0</v>
      </c>
      <c r="J60" s="40" t="s">
        <v>0</v>
      </c>
      <c r="K60" s="40" t="s">
        <v>0</v>
      </c>
      <c r="L60" s="40" t="s">
        <v>0</v>
      </c>
      <c r="M60" s="40" t="s">
        <v>0</v>
      </c>
      <c r="N60" s="40" t="s">
        <v>0</v>
      </c>
      <c r="O60" s="40" t="s">
        <v>0</v>
      </c>
      <c r="P60" s="40" t="s">
        <v>0</v>
      </c>
      <c r="Q60" s="40" t="s">
        <v>0</v>
      </c>
      <c r="R60" s="40" t="s">
        <v>0</v>
      </c>
      <c r="S60" s="40" t="s">
        <v>0</v>
      </c>
      <c r="T60" s="40" t="s">
        <v>0</v>
      </c>
      <c r="U60" s="40" t="s">
        <v>0</v>
      </c>
      <c r="V60" s="40" t="s">
        <v>0</v>
      </c>
      <c r="W60" s="40" t="s">
        <v>0</v>
      </c>
      <c r="X60" s="40" t="s">
        <v>0</v>
      </c>
      <c r="Y60" s="40" t="s">
        <v>0</v>
      </c>
      <c r="Z60" s="40" t="s">
        <v>0</v>
      </c>
      <c r="AA60" s="40" t="s">
        <v>0</v>
      </c>
      <c r="AB60" s="40" t="s">
        <v>0</v>
      </c>
      <c r="AC60" s="40" t="s">
        <v>0</v>
      </c>
      <c r="AD60" s="40" t="s">
        <v>504</v>
      </c>
      <c r="AE60" s="41"/>
      <c r="AF60" s="41"/>
      <c r="AG60" s="42" t="s">
        <v>69</v>
      </c>
      <c r="AH60" s="43" t="s">
        <v>299</v>
      </c>
      <c r="AI60" s="44">
        <f>15706.97+15377.71+2100</f>
        <v>33184.68</v>
      </c>
      <c r="AJ60" s="45">
        <f>14264.69+12446.52+2100</f>
        <v>28811.21</v>
      </c>
      <c r="AK60" s="45">
        <v>0</v>
      </c>
      <c r="AL60" s="52">
        <v>0</v>
      </c>
      <c r="AM60" s="45">
        <v>0</v>
      </c>
      <c r="AN60" s="45">
        <v>0</v>
      </c>
      <c r="AO60" s="45">
        <v>0</v>
      </c>
      <c r="AP60" s="45">
        <v>0</v>
      </c>
      <c r="AQ60" s="45">
        <f>AI60</f>
        <v>33184.68</v>
      </c>
      <c r="AR60" s="45">
        <f>AJ60</f>
        <v>28811.21</v>
      </c>
      <c r="AS60" s="45">
        <f>AW60</f>
        <v>37145.5</v>
      </c>
      <c r="AT60" s="45">
        <v>0</v>
      </c>
      <c r="AU60" s="45">
        <v>0</v>
      </c>
      <c r="AV60" s="45">
        <v>0</v>
      </c>
      <c r="AW60" s="45">
        <v>37145.5</v>
      </c>
      <c r="AX60" s="45">
        <f>BB60</f>
        <v>11283</v>
      </c>
      <c r="AY60" s="45">
        <v>0</v>
      </c>
      <c r="AZ60" s="45">
        <v>0</v>
      </c>
      <c r="BA60" s="45">
        <v>0</v>
      </c>
      <c r="BB60" s="45">
        <f>4298.5+1717.5+842.3+4424.7</f>
        <v>11283</v>
      </c>
      <c r="BC60" s="45">
        <f>BG60</f>
        <v>11283</v>
      </c>
      <c r="BD60" s="45">
        <v>0</v>
      </c>
      <c r="BE60" s="45">
        <v>0</v>
      </c>
      <c r="BF60" s="45">
        <v>0</v>
      </c>
      <c r="BG60" s="45">
        <f>4298.5+1717.5+842.3+4424.7</f>
        <v>11283</v>
      </c>
      <c r="BH60" s="45">
        <f>BL60</f>
        <v>11283</v>
      </c>
      <c r="BI60" s="45">
        <v>0</v>
      </c>
      <c r="BJ60" s="45">
        <v>0</v>
      </c>
      <c r="BK60" s="45">
        <v>0</v>
      </c>
      <c r="BL60" s="45">
        <f>4298.5+1717.5+842.3+4424.7</f>
        <v>11283</v>
      </c>
      <c r="BM60" s="44">
        <f>15706.97+15377.71+2100</f>
        <v>33184.68</v>
      </c>
      <c r="BN60" s="45">
        <f>14264.69+12446.52+2100</f>
        <v>28811.21</v>
      </c>
      <c r="BO60" s="45">
        <v>0</v>
      </c>
      <c r="BP60" s="52">
        <v>0</v>
      </c>
      <c r="BQ60" s="45">
        <v>0</v>
      </c>
      <c r="BR60" s="45">
        <v>0</v>
      </c>
      <c r="BS60" s="45">
        <v>0</v>
      </c>
      <c r="BT60" s="45">
        <v>0</v>
      </c>
      <c r="BU60" s="45">
        <f>BM60</f>
        <v>33184.68</v>
      </c>
      <c r="BV60" s="49">
        <f>BN60</f>
        <v>28811.21</v>
      </c>
      <c r="BW60" s="45">
        <f>CA60</f>
        <v>30458.41</v>
      </c>
      <c r="BX60" s="45">
        <v>0</v>
      </c>
      <c r="BY60" s="45">
        <v>0</v>
      </c>
      <c r="BZ60" s="45">
        <v>0</v>
      </c>
      <c r="CA60" s="45">
        <f>19294.41+11164</f>
        <v>30458.41</v>
      </c>
      <c r="CB60" s="45">
        <f>CF60</f>
        <v>20874.309999999998</v>
      </c>
      <c r="CC60" s="45">
        <v>0</v>
      </c>
      <c r="CD60" s="45">
        <v>0</v>
      </c>
      <c r="CE60" s="45">
        <v>0</v>
      </c>
      <c r="CF60" s="45">
        <f>11210.31+9664</f>
        <v>20874.309999999998</v>
      </c>
      <c r="CG60" s="45">
        <f>CK60</f>
        <v>20874.309999999998</v>
      </c>
      <c r="CH60" s="45">
        <v>0</v>
      </c>
      <c r="CI60" s="45">
        <v>0</v>
      </c>
      <c r="CJ60" s="45">
        <v>0</v>
      </c>
      <c r="CK60" s="45">
        <f>11210.31+9664</f>
        <v>20874.309999999998</v>
      </c>
      <c r="CL60" s="45">
        <f>CP60</f>
        <v>20874.309999999998</v>
      </c>
      <c r="CM60" s="45">
        <v>0</v>
      </c>
      <c r="CN60" s="45">
        <v>0</v>
      </c>
      <c r="CO60" s="45">
        <v>0</v>
      </c>
      <c r="CP60" s="45">
        <f>11210.31+9664</f>
        <v>20874.309999999998</v>
      </c>
      <c r="CQ60" s="48">
        <v>33184.68</v>
      </c>
      <c r="CR60" s="46">
        <v>0</v>
      </c>
      <c r="CS60" s="46">
        <v>0</v>
      </c>
      <c r="CT60" s="46">
        <v>0</v>
      </c>
      <c r="CU60" s="47">
        <v>33184.68</v>
      </c>
      <c r="CV60" s="44">
        <f>CZ60</f>
        <v>30458.41</v>
      </c>
      <c r="CW60" s="45">
        <v>0</v>
      </c>
      <c r="CX60" s="45">
        <v>0</v>
      </c>
      <c r="CY60" s="45">
        <v>0</v>
      </c>
      <c r="CZ60" s="49">
        <f>19294.41+11164</f>
        <v>30458.41</v>
      </c>
      <c r="DA60" s="44">
        <f>DE60</f>
        <v>20874.309999999998</v>
      </c>
      <c r="DB60" s="45">
        <v>0</v>
      </c>
      <c r="DC60" s="45">
        <v>0</v>
      </c>
      <c r="DD60" s="45">
        <v>0</v>
      </c>
      <c r="DE60" s="49">
        <f>11210.31+9664</f>
        <v>20874.309999999998</v>
      </c>
      <c r="DF60" s="48">
        <v>33184.68</v>
      </c>
      <c r="DG60" s="46">
        <v>0</v>
      </c>
      <c r="DH60" s="46">
        <v>0</v>
      </c>
      <c r="DI60" s="45">
        <v>0</v>
      </c>
      <c r="DJ60" s="46">
        <v>33184.68</v>
      </c>
      <c r="DK60" s="45">
        <f>DO60</f>
        <v>30458.41</v>
      </c>
      <c r="DL60" s="45">
        <v>0</v>
      </c>
      <c r="DM60" s="45">
        <v>0</v>
      </c>
      <c r="DN60" s="45">
        <v>0</v>
      </c>
      <c r="DO60" s="45">
        <f>19294.41+11164</f>
        <v>30458.41</v>
      </c>
      <c r="DP60" s="45">
        <f>DT60</f>
        <v>20874.309999999998</v>
      </c>
      <c r="DQ60" s="45">
        <v>0</v>
      </c>
      <c r="DR60" s="45">
        <v>0</v>
      </c>
      <c r="DS60" s="45">
        <v>0</v>
      </c>
      <c r="DT60" s="45">
        <f>11210.31+9664</f>
        <v>20874.309999999998</v>
      </c>
      <c r="DU60" s="50" t="s">
        <v>190</v>
      </c>
    </row>
    <row r="61" spans="1:125" s="37" customFormat="1" ht="73.5" x14ac:dyDescent="0.2">
      <c r="A61" s="26" t="s">
        <v>300</v>
      </c>
      <c r="B61" s="26" t="s">
        <v>301</v>
      </c>
      <c r="C61" s="27" t="s">
        <v>302</v>
      </c>
      <c r="D61" s="71" t="s">
        <v>168</v>
      </c>
      <c r="E61" s="71" t="s">
        <v>168</v>
      </c>
      <c r="F61" s="71" t="s">
        <v>168</v>
      </c>
      <c r="G61" s="71" t="s">
        <v>168</v>
      </c>
      <c r="H61" s="71" t="s">
        <v>168</v>
      </c>
      <c r="I61" s="71" t="s">
        <v>168</v>
      </c>
      <c r="J61" s="71" t="s">
        <v>168</v>
      </c>
      <c r="K61" s="71" t="s">
        <v>168</v>
      </c>
      <c r="L61" s="71" t="s">
        <v>168</v>
      </c>
      <c r="M61" s="71" t="s">
        <v>168</v>
      </c>
      <c r="N61" s="71" t="s">
        <v>168</v>
      </c>
      <c r="O61" s="71" t="s">
        <v>168</v>
      </c>
      <c r="P61" s="71" t="s">
        <v>168</v>
      </c>
      <c r="Q61" s="71" t="s">
        <v>168</v>
      </c>
      <c r="R61" s="71" t="s">
        <v>168</v>
      </c>
      <c r="S61" s="71" t="s">
        <v>168</v>
      </c>
      <c r="T61" s="71" t="s">
        <v>168</v>
      </c>
      <c r="U61" s="71" t="s">
        <v>168</v>
      </c>
      <c r="V61" s="71" t="s">
        <v>168</v>
      </c>
      <c r="W61" s="71" t="s">
        <v>168</v>
      </c>
      <c r="X61" s="71" t="s">
        <v>168</v>
      </c>
      <c r="Y61" s="71" t="s">
        <v>168</v>
      </c>
      <c r="Z61" s="71" t="s">
        <v>168</v>
      </c>
      <c r="AA61" s="71" t="s">
        <v>168</v>
      </c>
      <c r="AB61" s="71" t="s">
        <v>168</v>
      </c>
      <c r="AC61" s="71" t="s">
        <v>168</v>
      </c>
      <c r="AD61" s="71" t="s">
        <v>168</v>
      </c>
      <c r="AE61" s="71" t="s">
        <v>168</v>
      </c>
      <c r="AF61" s="71" t="s">
        <v>168</v>
      </c>
      <c r="AG61" s="71" t="s">
        <v>168</v>
      </c>
      <c r="AH61" s="82" t="s">
        <v>168</v>
      </c>
      <c r="AI61" s="30">
        <f>SUM(AI62:AI63)</f>
        <v>156221.70000000001</v>
      </c>
      <c r="AJ61" s="31">
        <f t="shared" ref="AJ61:BL61" si="328">SUM(AJ62:AJ63)</f>
        <v>78045.700000000012</v>
      </c>
      <c r="AK61" s="31">
        <f t="shared" si="328"/>
        <v>13062.96</v>
      </c>
      <c r="AL61" s="31">
        <f t="shared" si="328"/>
        <v>13058.42</v>
      </c>
      <c r="AM61" s="31">
        <f t="shared" si="328"/>
        <v>1135.9100000000001</v>
      </c>
      <c r="AN61" s="31">
        <f t="shared" si="328"/>
        <v>1135.51</v>
      </c>
      <c r="AO61" s="31">
        <f t="shared" si="328"/>
        <v>0</v>
      </c>
      <c r="AP61" s="31">
        <f t="shared" si="328"/>
        <v>0</v>
      </c>
      <c r="AQ61" s="31">
        <f t="shared" si="328"/>
        <v>142022.83000000002</v>
      </c>
      <c r="AR61" s="31">
        <f t="shared" si="328"/>
        <v>63851.770000000004</v>
      </c>
      <c r="AS61" s="31">
        <f>SUM(AS62:AS63)</f>
        <v>97196.4</v>
      </c>
      <c r="AT61" s="31">
        <f t="shared" si="328"/>
        <v>0</v>
      </c>
      <c r="AU61" s="31">
        <f t="shared" si="328"/>
        <v>29917.599999999999</v>
      </c>
      <c r="AV61" s="31">
        <f t="shared" si="328"/>
        <v>17430</v>
      </c>
      <c r="AW61" s="31">
        <f t="shared" si="328"/>
        <v>49848.799999999996</v>
      </c>
      <c r="AX61" s="31">
        <f t="shared" si="328"/>
        <v>72685.2</v>
      </c>
      <c r="AY61" s="31">
        <f t="shared" si="328"/>
        <v>0</v>
      </c>
      <c r="AZ61" s="31">
        <f t="shared" si="328"/>
        <v>0</v>
      </c>
      <c r="BA61" s="31">
        <f t="shared" si="328"/>
        <v>69725.2</v>
      </c>
      <c r="BB61" s="31">
        <f t="shared" si="328"/>
        <v>2960</v>
      </c>
      <c r="BC61" s="31">
        <f t="shared" si="328"/>
        <v>12460</v>
      </c>
      <c r="BD61" s="31">
        <f t="shared" si="328"/>
        <v>0</v>
      </c>
      <c r="BE61" s="31">
        <f t="shared" si="328"/>
        <v>0</v>
      </c>
      <c r="BF61" s="31">
        <f t="shared" si="328"/>
        <v>0</v>
      </c>
      <c r="BG61" s="31">
        <f t="shared" si="328"/>
        <v>12460</v>
      </c>
      <c r="BH61" s="31">
        <f t="shared" si="328"/>
        <v>12460</v>
      </c>
      <c r="BI61" s="31">
        <f t="shared" si="328"/>
        <v>0</v>
      </c>
      <c r="BJ61" s="31">
        <f t="shared" si="328"/>
        <v>0</v>
      </c>
      <c r="BK61" s="31">
        <f t="shared" si="328"/>
        <v>0</v>
      </c>
      <c r="BL61" s="32">
        <f t="shared" si="328"/>
        <v>12460</v>
      </c>
      <c r="BM61" s="30">
        <f>SUM(BM62:BM63)</f>
        <v>2127.73</v>
      </c>
      <c r="BN61" s="31">
        <f t="shared" ref="BN61" si="329">SUM(BN62:BN63)</f>
        <v>19.75</v>
      </c>
      <c r="BO61" s="31">
        <f t="shared" ref="BO61" si="330">SUM(BO62:BO63)</f>
        <v>0</v>
      </c>
      <c r="BP61" s="31">
        <f t="shared" ref="BP61" si="331">SUM(BP62:BP63)</f>
        <v>0</v>
      </c>
      <c r="BQ61" s="31">
        <f t="shared" ref="BQ61" si="332">SUM(BQ62:BQ63)</f>
        <v>0</v>
      </c>
      <c r="BR61" s="31">
        <f t="shared" ref="BR61" si="333">SUM(BR62:BR63)</f>
        <v>0</v>
      </c>
      <c r="BS61" s="31">
        <f t="shared" ref="BS61" si="334">SUM(BS62:BS63)</f>
        <v>0</v>
      </c>
      <c r="BT61" s="31">
        <f t="shared" ref="BT61" si="335">SUM(BT62:BT63)</f>
        <v>0</v>
      </c>
      <c r="BU61" s="31">
        <f t="shared" ref="BU61" si="336">SUM(BU62:BU63)</f>
        <v>2127.73</v>
      </c>
      <c r="BV61" s="32">
        <f t="shared" ref="BV61" si="337">SUM(BV62:BV63)</f>
        <v>19.75</v>
      </c>
      <c r="BW61" s="31">
        <f>SUM(BW62:BW63)</f>
        <v>1960</v>
      </c>
      <c r="BX61" s="31">
        <f t="shared" ref="BX61" si="338">SUM(BX62:BX63)</f>
        <v>0</v>
      </c>
      <c r="BY61" s="31">
        <f t="shared" ref="BY61" si="339">SUM(BY62:BY63)</f>
        <v>0</v>
      </c>
      <c r="BZ61" s="31">
        <f t="shared" ref="BZ61" si="340">SUM(BZ62:BZ63)</f>
        <v>0</v>
      </c>
      <c r="CA61" s="31">
        <f t="shared" ref="CA61" si="341">SUM(CA62:CA63)</f>
        <v>1960</v>
      </c>
      <c r="CB61" s="31">
        <f t="shared" ref="CB61" si="342">SUM(CB62:CB63)</f>
        <v>1960</v>
      </c>
      <c r="CC61" s="31">
        <f t="shared" ref="CC61" si="343">SUM(CC62:CC63)</f>
        <v>0</v>
      </c>
      <c r="CD61" s="31">
        <f t="shared" ref="CD61" si="344">SUM(CD62:CD63)</f>
        <v>0</v>
      </c>
      <c r="CE61" s="31">
        <f t="shared" ref="CE61" si="345">SUM(CE62:CE63)</f>
        <v>0</v>
      </c>
      <c r="CF61" s="31">
        <f t="shared" ref="CF61" si="346">SUM(CF62:CF63)</f>
        <v>1960</v>
      </c>
      <c r="CG61" s="31">
        <f t="shared" ref="CG61" si="347">SUM(CG62:CG63)</f>
        <v>1960</v>
      </c>
      <c r="CH61" s="31">
        <f t="shared" ref="CH61" si="348">SUM(CH62:CH63)</f>
        <v>0</v>
      </c>
      <c r="CI61" s="31">
        <f t="shared" ref="CI61" si="349">SUM(CI62:CI63)</f>
        <v>0</v>
      </c>
      <c r="CJ61" s="31">
        <f t="shared" ref="CJ61" si="350">SUM(CJ62:CJ63)</f>
        <v>0</v>
      </c>
      <c r="CK61" s="31">
        <f t="shared" ref="CK61" si="351">SUM(CK62:CK63)</f>
        <v>1960</v>
      </c>
      <c r="CL61" s="31">
        <f t="shared" ref="CL61" si="352">SUM(CL62:CL63)</f>
        <v>1960</v>
      </c>
      <c r="CM61" s="31">
        <f t="shared" ref="CM61" si="353">SUM(CM62:CM63)</f>
        <v>0</v>
      </c>
      <c r="CN61" s="31">
        <f t="shared" ref="CN61" si="354">SUM(CN62:CN63)</f>
        <v>0</v>
      </c>
      <c r="CO61" s="31">
        <f t="shared" ref="CO61" si="355">SUM(CO62:CO63)</f>
        <v>0</v>
      </c>
      <c r="CP61" s="32">
        <f t="shared" ref="CP61" si="356">SUM(CP62:CP63)</f>
        <v>1960</v>
      </c>
      <c r="CQ61" s="33">
        <v>156221.70000000001</v>
      </c>
      <c r="CR61" s="34">
        <v>13062.96</v>
      </c>
      <c r="CS61" s="34">
        <v>1135.9100000000001</v>
      </c>
      <c r="CT61" s="34">
        <v>0</v>
      </c>
      <c r="CU61" s="35">
        <v>142022.83000000002</v>
      </c>
      <c r="CV61" s="30">
        <f>SUM(CV62:CV63)</f>
        <v>39860</v>
      </c>
      <c r="CW61" s="31">
        <f t="shared" ref="CW61" si="357">SUM(CW62:CW63)</f>
        <v>0</v>
      </c>
      <c r="CX61" s="31">
        <f t="shared" ref="CX61" si="358">SUM(CX62:CX63)</f>
        <v>0</v>
      </c>
      <c r="CY61" s="31">
        <f t="shared" ref="CY61" si="359">SUM(CY62:CY63)</f>
        <v>0</v>
      </c>
      <c r="CZ61" s="32">
        <f t="shared" ref="CZ61" si="360">SUM(CZ62:CZ63)</f>
        <v>39860</v>
      </c>
      <c r="DA61" s="30">
        <f t="shared" ref="DA61" si="361">SUM(DA62:DA63)</f>
        <v>12460</v>
      </c>
      <c r="DB61" s="31">
        <f t="shared" ref="DB61" si="362">SUM(DB62:DB63)</f>
        <v>0</v>
      </c>
      <c r="DC61" s="31">
        <f t="shared" ref="DC61" si="363">SUM(DC62:DC63)</f>
        <v>0</v>
      </c>
      <c r="DD61" s="31">
        <f t="shared" ref="DD61" si="364">SUM(DD62:DD63)</f>
        <v>0</v>
      </c>
      <c r="DE61" s="32">
        <f t="shared" ref="DE61" si="365">SUM(DE62:DE63)</f>
        <v>12460</v>
      </c>
      <c r="DF61" s="33">
        <v>2127.73</v>
      </c>
      <c r="DG61" s="34">
        <v>0</v>
      </c>
      <c r="DH61" s="34">
        <v>0</v>
      </c>
      <c r="DI61" s="31">
        <f t="shared" ref="DI61" si="366">SUM(DI62:DI63)</f>
        <v>0</v>
      </c>
      <c r="DJ61" s="34">
        <v>2127.73</v>
      </c>
      <c r="DK61" s="31">
        <f>SUM(DK62:DK63)</f>
        <v>1960</v>
      </c>
      <c r="DL61" s="31">
        <f t="shared" ref="DL61" si="367">SUM(DL62:DL63)</f>
        <v>0</v>
      </c>
      <c r="DM61" s="31">
        <f t="shared" ref="DM61" si="368">SUM(DM62:DM63)</f>
        <v>0</v>
      </c>
      <c r="DN61" s="31">
        <f t="shared" ref="DN61" si="369">SUM(DN62:DN63)</f>
        <v>0</v>
      </c>
      <c r="DO61" s="31">
        <f t="shared" ref="DO61" si="370">SUM(DO62:DO63)</f>
        <v>1960</v>
      </c>
      <c r="DP61" s="31">
        <f t="shared" ref="DP61" si="371">SUM(DP62:DP63)</f>
        <v>1960</v>
      </c>
      <c r="DQ61" s="31">
        <f t="shared" ref="DQ61" si="372">SUM(DQ62:DQ63)</f>
        <v>0</v>
      </c>
      <c r="DR61" s="31">
        <f t="shared" ref="DR61" si="373">SUM(DR62:DR63)</f>
        <v>0</v>
      </c>
      <c r="DS61" s="31">
        <f t="shared" ref="DS61" si="374">SUM(DS62:DS63)</f>
        <v>0</v>
      </c>
      <c r="DT61" s="31">
        <f t="shared" ref="DT61" si="375">SUM(DT62:DT63)</f>
        <v>1960</v>
      </c>
      <c r="DU61" s="36" t="s">
        <v>0</v>
      </c>
    </row>
    <row r="62" spans="1:125" customFormat="1" ht="135" x14ac:dyDescent="0.2">
      <c r="A62" s="38" t="s">
        <v>303</v>
      </c>
      <c r="B62" s="38" t="s">
        <v>304</v>
      </c>
      <c r="C62" s="39" t="s">
        <v>305</v>
      </c>
      <c r="D62" s="40" t="s">
        <v>427</v>
      </c>
      <c r="E62" s="40" t="s">
        <v>0</v>
      </c>
      <c r="F62" s="40" t="s">
        <v>0</v>
      </c>
      <c r="G62" s="40" t="s">
        <v>0</v>
      </c>
      <c r="H62" s="40" t="s">
        <v>0</v>
      </c>
      <c r="I62" s="40" t="s">
        <v>0</v>
      </c>
      <c r="J62" s="40" t="s">
        <v>0</v>
      </c>
      <c r="K62" s="40" t="s">
        <v>0</v>
      </c>
      <c r="L62" s="40" t="s">
        <v>0</v>
      </c>
      <c r="M62" s="40" t="s">
        <v>0</v>
      </c>
      <c r="N62" s="40" t="s">
        <v>0</v>
      </c>
      <c r="O62" s="40" t="s">
        <v>0</v>
      </c>
      <c r="P62" s="40" t="s">
        <v>0</v>
      </c>
      <c r="Q62" s="40" t="s">
        <v>0</v>
      </c>
      <c r="R62" s="40" t="s">
        <v>0</v>
      </c>
      <c r="S62" s="40" t="s">
        <v>0</v>
      </c>
      <c r="T62" s="40" t="s">
        <v>0</v>
      </c>
      <c r="U62" s="40" t="s">
        <v>0</v>
      </c>
      <c r="V62" s="40" t="s">
        <v>0</v>
      </c>
      <c r="W62" s="40" t="s">
        <v>0</v>
      </c>
      <c r="X62" s="40" t="s">
        <v>0</v>
      </c>
      <c r="Y62" s="40" t="s">
        <v>0</v>
      </c>
      <c r="Z62" s="40" t="s">
        <v>0</v>
      </c>
      <c r="AA62" s="40" t="s">
        <v>453</v>
      </c>
      <c r="AB62" s="40" t="s">
        <v>0</v>
      </c>
      <c r="AC62" s="40" t="s">
        <v>0</v>
      </c>
      <c r="AD62" s="40" t="s">
        <v>505</v>
      </c>
      <c r="AE62" s="41"/>
      <c r="AF62" s="41"/>
      <c r="AG62" s="42" t="s">
        <v>69</v>
      </c>
      <c r="AH62" s="57" t="s">
        <v>666</v>
      </c>
      <c r="AI62" s="44">
        <f>AK62+AM62+AQ62</f>
        <v>154343.97</v>
      </c>
      <c r="AJ62" s="45">
        <f>AL62+AN62+AR62</f>
        <v>78045.700000000012</v>
      </c>
      <c r="AK62" s="45">
        <v>13062.96</v>
      </c>
      <c r="AL62" s="52">
        <v>13058.42</v>
      </c>
      <c r="AM62" s="45">
        <v>1135.9100000000001</v>
      </c>
      <c r="AN62" s="45">
        <v>1135.51</v>
      </c>
      <c r="AO62" s="45">
        <v>0</v>
      </c>
      <c r="AP62" s="45">
        <v>0</v>
      </c>
      <c r="AQ62" s="46">
        <f>130645.1+9500</f>
        <v>140145.1</v>
      </c>
      <c r="AR62" s="46">
        <f>54357.8+9493.97</f>
        <v>63851.770000000004</v>
      </c>
      <c r="AS62" s="45">
        <f>SUBTOTAL(9,AT62:AW62)</f>
        <v>92592.2</v>
      </c>
      <c r="AT62" s="45">
        <v>0</v>
      </c>
      <c r="AU62" s="45">
        <v>29917.599999999999</v>
      </c>
      <c r="AV62" s="45">
        <v>17430</v>
      </c>
      <c r="AW62" s="45">
        <v>45244.6</v>
      </c>
      <c r="AX62" s="45">
        <f>SUM(AY62:BB62)</f>
        <v>70725.2</v>
      </c>
      <c r="AY62" s="45">
        <v>0</v>
      </c>
      <c r="AZ62" s="45">
        <v>0</v>
      </c>
      <c r="BA62" s="45">
        <f>34860+34865.2</f>
        <v>69725.2</v>
      </c>
      <c r="BB62" s="45">
        <f>1000+34865.2-34865.2</f>
        <v>1000</v>
      </c>
      <c r="BC62" s="45">
        <f>BG62</f>
        <v>10500</v>
      </c>
      <c r="BD62" s="45">
        <v>0</v>
      </c>
      <c r="BE62" s="45">
        <v>0</v>
      </c>
      <c r="BF62" s="45">
        <v>0</v>
      </c>
      <c r="BG62" s="45">
        <f>1000+9500</f>
        <v>10500</v>
      </c>
      <c r="BH62" s="45">
        <f>BL62</f>
        <v>10500</v>
      </c>
      <c r="BI62" s="45">
        <v>0</v>
      </c>
      <c r="BJ62" s="45">
        <v>0</v>
      </c>
      <c r="BK62" s="45">
        <v>0</v>
      </c>
      <c r="BL62" s="45">
        <f>1000+9500</f>
        <v>10500</v>
      </c>
      <c r="BM62" s="44">
        <f>BO62+BQ62+BU62</f>
        <v>250</v>
      </c>
      <c r="BN62" s="45">
        <f>BP62+BR62+BV62</f>
        <v>19.75</v>
      </c>
      <c r="BO62" s="45"/>
      <c r="BP62" s="52"/>
      <c r="BQ62" s="45"/>
      <c r="BR62" s="45"/>
      <c r="BS62" s="45">
        <v>0</v>
      </c>
      <c r="BT62" s="45">
        <v>0</v>
      </c>
      <c r="BU62" s="46">
        <v>250</v>
      </c>
      <c r="BV62" s="47">
        <v>19.75</v>
      </c>
      <c r="BW62" s="45">
        <f>SUBTOTAL(9,BX62:CA62)</f>
        <v>0</v>
      </c>
      <c r="BX62" s="45">
        <v>0</v>
      </c>
      <c r="BY62" s="45">
        <v>0</v>
      </c>
      <c r="BZ62" s="45">
        <f>17400-17400</f>
        <v>0</v>
      </c>
      <c r="CA62" s="45">
        <f>11000+26900-17400-10000-1000-9500</f>
        <v>0</v>
      </c>
      <c r="CB62" s="45">
        <f>CF62</f>
        <v>0</v>
      </c>
      <c r="CC62" s="45">
        <v>0</v>
      </c>
      <c r="CD62" s="45">
        <v>0</v>
      </c>
      <c r="CE62" s="45">
        <v>0</v>
      </c>
      <c r="CF62" s="45">
        <f>1000+9500-1000-9500</f>
        <v>0</v>
      </c>
      <c r="CG62" s="45">
        <f>CK62</f>
        <v>0</v>
      </c>
      <c r="CH62" s="45">
        <v>0</v>
      </c>
      <c r="CI62" s="45">
        <v>0</v>
      </c>
      <c r="CJ62" s="45">
        <v>0</v>
      </c>
      <c r="CK62" s="45">
        <f>1000+9500-1000-9500</f>
        <v>0</v>
      </c>
      <c r="CL62" s="45">
        <f>CP62</f>
        <v>0</v>
      </c>
      <c r="CM62" s="45">
        <v>0</v>
      </c>
      <c r="CN62" s="45">
        <v>0</v>
      </c>
      <c r="CO62" s="45">
        <v>0</v>
      </c>
      <c r="CP62" s="45">
        <f>1000+9500-1000-9500</f>
        <v>0</v>
      </c>
      <c r="CQ62" s="48">
        <v>154343.97</v>
      </c>
      <c r="CR62" s="46">
        <v>13062.96</v>
      </c>
      <c r="CS62" s="46">
        <v>1135.9100000000001</v>
      </c>
      <c r="CT62" s="46">
        <v>0</v>
      </c>
      <c r="CU62" s="47">
        <v>140145.1</v>
      </c>
      <c r="CV62" s="44">
        <f>CZ62</f>
        <v>37900</v>
      </c>
      <c r="CW62" s="45">
        <v>0</v>
      </c>
      <c r="CX62" s="45">
        <v>0</v>
      </c>
      <c r="CY62" s="45">
        <v>0</v>
      </c>
      <c r="CZ62" s="49">
        <f>11000+26900</f>
        <v>37900</v>
      </c>
      <c r="DA62" s="44">
        <f>DE62</f>
        <v>10500</v>
      </c>
      <c r="DB62" s="45">
        <v>0</v>
      </c>
      <c r="DC62" s="45">
        <v>0</v>
      </c>
      <c r="DD62" s="45">
        <v>0</v>
      </c>
      <c r="DE62" s="49">
        <f>1000+9500</f>
        <v>10500</v>
      </c>
      <c r="DF62" s="48">
        <v>250</v>
      </c>
      <c r="DG62" s="46"/>
      <c r="DH62" s="46"/>
      <c r="DI62" s="45">
        <v>0</v>
      </c>
      <c r="DJ62" s="46">
        <v>250</v>
      </c>
      <c r="DK62" s="45">
        <f>SUBTOTAL(9,DL62:DO62)</f>
        <v>0</v>
      </c>
      <c r="DL62" s="45">
        <v>0</v>
      </c>
      <c r="DM62" s="45">
        <v>0</v>
      </c>
      <c r="DN62" s="45">
        <f>17400-17400</f>
        <v>0</v>
      </c>
      <c r="DO62" s="45">
        <f>11000+26900-17400-10000-1000-9500</f>
        <v>0</v>
      </c>
      <c r="DP62" s="45">
        <f>DT62</f>
        <v>0</v>
      </c>
      <c r="DQ62" s="45">
        <v>0</v>
      </c>
      <c r="DR62" s="45">
        <v>0</v>
      </c>
      <c r="DS62" s="45">
        <v>0</v>
      </c>
      <c r="DT62" s="45">
        <f>1000+9500-1000-9500</f>
        <v>0</v>
      </c>
      <c r="DU62" s="50" t="s">
        <v>178</v>
      </c>
    </row>
    <row r="63" spans="1:125" customFormat="1" ht="90" x14ac:dyDescent="0.2">
      <c r="A63" s="38" t="s">
        <v>306</v>
      </c>
      <c r="B63" s="38" t="s">
        <v>307</v>
      </c>
      <c r="C63" s="39" t="s">
        <v>308</v>
      </c>
      <c r="D63" s="40" t="s">
        <v>427</v>
      </c>
      <c r="E63" s="40" t="s">
        <v>0</v>
      </c>
      <c r="F63" s="40" t="s">
        <v>0</v>
      </c>
      <c r="G63" s="40" t="s">
        <v>0</v>
      </c>
      <c r="H63" s="40" t="s">
        <v>0</v>
      </c>
      <c r="I63" s="40" t="s">
        <v>0</v>
      </c>
      <c r="J63" s="40" t="s">
        <v>0</v>
      </c>
      <c r="K63" s="40" t="s">
        <v>0</v>
      </c>
      <c r="L63" s="40" t="s">
        <v>0</v>
      </c>
      <c r="M63" s="40" t="s">
        <v>0</v>
      </c>
      <c r="N63" s="40" t="s">
        <v>0</v>
      </c>
      <c r="O63" s="40" t="s">
        <v>0</v>
      </c>
      <c r="P63" s="40" t="s">
        <v>0</v>
      </c>
      <c r="Q63" s="40" t="s">
        <v>0</v>
      </c>
      <c r="R63" s="40" t="s">
        <v>0</v>
      </c>
      <c r="S63" s="40" t="s">
        <v>0</v>
      </c>
      <c r="T63" s="40" t="s">
        <v>0</v>
      </c>
      <c r="U63" s="40" t="s">
        <v>0</v>
      </c>
      <c r="V63" s="40" t="s">
        <v>0</v>
      </c>
      <c r="W63" s="40" t="s">
        <v>0</v>
      </c>
      <c r="X63" s="40" t="s">
        <v>0</v>
      </c>
      <c r="Y63" s="40" t="s">
        <v>0</v>
      </c>
      <c r="Z63" s="40" t="s">
        <v>0</v>
      </c>
      <c r="AA63" s="40" t="s">
        <v>0</v>
      </c>
      <c r="AB63" s="40" t="s">
        <v>0</v>
      </c>
      <c r="AC63" s="40" t="s">
        <v>0</v>
      </c>
      <c r="AD63" s="40" t="s">
        <v>685</v>
      </c>
      <c r="AE63" s="41"/>
      <c r="AF63" s="41"/>
      <c r="AG63" s="42" t="s">
        <v>69</v>
      </c>
      <c r="AH63" s="43" t="s">
        <v>182</v>
      </c>
      <c r="AI63" s="44">
        <v>1877.73</v>
      </c>
      <c r="AJ63" s="45">
        <v>0</v>
      </c>
      <c r="AK63" s="45">
        <v>0</v>
      </c>
      <c r="AL63" s="52">
        <v>0</v>
      </c>
      <c r="AM63" s="45">
        <v>0</v>
      </c>
      <c r="AN63" s="45">
        <v>0</v>
      </c>
      <c r="AO63" s="45">
        <v>0</v>
      </c>
      <c r="AP63" s="45">
        <v>0</v>
      </c>
      <c r="AQ63" s="45">
        <v>1877.73</v>
      </c>
      <c r="AR63" s="45">
        <v>0</v>
      </c>
      <c r="AS63" s="45">
        <f>AW63</f>
        <v>4604.2</v>
      </c>
      <c r="AT63" s="45">
        <v>0</v>
      </c>
      <c r="AU63" s="45">
        <v>0</v>
      </c>
      <c r="AV63" s="45">
        <v>0</v>
      </c>
      <c r="AW63" s="45">
        <v>4604.2</v>
      </c>
      <c r="AX63" s="45">
        <v>1960</v>
      </c>
      <c r="AY63" s="45">
        <v>0</v>
      </c>
      <c r="AZ63" s="45">
        <v>0</v>
      </c>
      <c r="BA63" s="45">
        <v>0</v>
      </c>
      <c r="BB63" s="45">
        <f>AX63</f>
        <v>1960</v>
      </c>
      <c r="BC63" s="45">
        <v>1960</v>
      </c>
      <c r="BD63" s="45">
        <v>0</v>
      </c>
      <c r="BE63" s="45">
        <v>0</v>
      </c>
      <c r="BF63" s="45">
        <v>0</v>
      </c>
      <c r="BG63" s="45">
        <f>BC63</f>
        <v>1960</v>
      </c>
      <c r="BH63" s="45">
        <v>1960</v>
      </c>
      <c r="BI63" s="45">
        <v>0</v>
      </c>
      <c r="BJ63" s="45">
        <v>0</v>
      </c>
      <c r="BK63" s="45">
        <v>0</v>
      </c>
      <c r="BL63" s="49">
        <f>BH63</f>
        <v>1960</v>
      </c>
      <c r="BM63" s="44">
        <v>1877.73</v>
      </c>
      <c r="BN63" s="45">
        <v>0</v>
      </c>
      <c r="BO63" s="45">
        <v>0</v>
      </c>
      <c r="BP63" s="52">
        <v>0</v>
      </c>
      <c r="BQ63" s="45">
        <v>0</v>
      </c>
      <c r="BR63" s="45">
        <v>0</v>
      </c>
      <c r="BS63" s="45">
        <v>0</v>
      </c>
      <c r="BT63" s="45">
        <v>0</v>
      </c>
      <c r="BU63" s="45">
        <v>1877.73</v>
      </c>
      <c r="BV63" s="49">
        <v>0</v>
      </c>
      <c r="BW63" s="45">
        <v>1960</v>
      </c>
      <c r="BX63" s="45">
        <v>0</v>
      </c>
      <c r="BY63" s="45">
        <v>0</v>
      </c>
      <c r="BZ63" s="45">
        <v>0</v>
      </c>
      <c r="CA63" s="45">
        <f>BW63</f>
        <v>1960</v>
      </c>
      <c r="CB63" s="45">
        <v>1960</v>
      </c>
      <c r="CC63" s="45">
        <v>0</v>
      </c>
      <c r="CD63" s="45">
        <v>0</v>
      </c>
      <c r="CE63" s="45">
        <v>0</v>
      </c>
      <c r="CF63" s="45">
        <f>CB63</f>
        <v>1960</v>
      </c>
      <c r="CG63" s="45">
        <v>1960</v>
      </c>
      <c r="CH63" s="45">
        <v>0</v>
      </c>
      <c r="CI63" s="45">
        <v>0</v>
      </c>
      <c r="CJ63" s="45">
        <v>0</v>
      </c>
      <c r="CK63" s="45">
        <f>CG63</f>
        <v>1960</v>
      </c>
      <c r="CL63" s="45">
        <v>1960</v>
      </c>
      <c r="CM63" s="45">
        <v>0</v>
      </c>
      <c r="CN63" s="45">
        <v>0</v>
      </c>
      <c r="CO63" s="45">
        <v>0</v>
      </c>
      <c r="CP63" s="49">
        <f>CL63</f>
        <v>1960</v>
      </c>
      <c r="CQ63" s="48">
        <v>1877.73</v>
      </c>
      <c r="CR63" s="46">
        <v>0</v>
      </c>
      <c r="CS63" s="46">
        <v>0</v>
      </c>
      <c r="CT63" s="46">
        <v>0</v>
      </c>
      <c r="CU63" s="47">
        <v>1877.73</v>
      </c>
      <c r="CV63" s="44">
        <v>1960</v>
      </c>
      <c r="CW63" s="45">
        <v>0</v>
      </c>
      <c r="CX63" s="45">
        <v>0</v>
      </c>
      <c r="CY63" s="45">
        <v>0</v>
      </c>
      <c r="CZ63" s="49">
        <f>CV63</f>
        <v>1960</v>
      </c>
      <c r="DA63" s="44">
        <v>1960</v>
      </c>
      <c r="DB63" s="45">
        <v>0</v>
      </c>
      <c r="DC63" s="45">
        <v>0</v>
      </c>
      <c r="DD63" s="45">
        <v>0</v>
      </c>
      <c r="DE63" s="49">
        <f>DA63</f>
        <v>1960</v>
      </c>
      <c r="DF63" s="48">
        <v>1877.73</v>
      </c>
      <c r="DG63" s="46">
        <v>0</v>
      </c>
      <c r="DH63" s="46">
        <v>0</v>
      </c>
      <c r="DI63" s="45">
        <v>0</v>
      </c>
      <c r="DJ63" s="46">
        <v>1877.73</v>
      </c>
      <c r="DK63" s="45">
        <v>1960</v>
      </c>
      <c r="DL63" s="45">
        <v>0</v>
      </c>
      <c r="DM63" s="45">
        <v>0</v>
      </c>
      <c r="DN63" s="45">
        <v>0</v>
      </c>
      <c r="DO63" s="45">
        <f>DK63</f>
        <v>1960</v>
      </c>
      <c r="DP63" s="45">
        <v>1960</v>
      </c>
      <c r="DQ63" s="45">
        <v>0</v>
      </c>
      <c r="DR63" s="45">
        <v>0</v>
      </c>
      <c r="DS63" s="45">
        <v>0</v>
      </c>
      <c r="DT63" s="45">
        <f>DP63</f>
        <v>1960</v>
      </c>
      <c r="DU63" s="50" t="s">
        <v>178</v>
      </c>
    </row>
    <row r="64" spans="1:125" s="37" customFormat="1" ht="105" x14ac:dyDescent="0.2">
      <c r="A64" s="26" t="s">
        <v>309</v>
      </c>
      <c r="B64" s="26" t="s">
        <v>310</v>
      </c>
      <c r="C64" s="27" t="s">
        <v>311</v>
      </c>
      <c r="D64" s="71" t="s">
        <v>168</v>
      </c>
      <c r="E64" s="71" t="s">
        <v>168</v>
      </c>
      <c r="F64" s="71" t="s">
        <v>168</v>
      </c>
      <c r="G64" s="71" t="s">
        <v>168</v>
      </c>
      <c r="H64" s="71" t="s">
        <v>168</v>
      </c>
      <c r="I64" s="71" t="s">
        <v>168</v>
      </c>
      <c r="J64" s="71" t="s">
        <v>168</v>
      </c>
      <c r="K64" s="71" t="s">
        <v>168</v>
      </c>
      <c r="L64" s="71" t="s">
        <v>168</v>
      </c>
      <c r="M64" s="71" t="s">
        <v>168</v>
      </c>
      <c r="N64" s="71" t="s">
        <v>168</v>
      </c>
      <c r="O64" s="71" t="s">
        <v>168</v>
      </c>
      <c r="P64" s="71" t="s">
        <v>168</v>
      </c>
      <c r="Q64" s="71" t="s">
        <v>168</v>
      </c>
      <c r="R64" s="71" t="s">
        <v>168</v>
      </c>
      <c r="S64" s="71" t="s">
        <v>168</v>
      </c>
      <c r="T64" s="71" t="s">
        <v>168</v>
      </c>
      <c r="U64" s="71" t="s">
        <v>168</v>
      </c>
      <c r="V64" s="71" t="s">
        <v>168</v>
      </c>
      <c r="W64" s="71" t="s">
        <v>168</v>
      </c>
      <c r="X64" s="71" t="s">
        <v>168</v>
      </c>
      <c r="Y64" s="71" t="s">
        <v>168</v>
      </c>
      <c r="Z64" s="71" t="s">
        <v>168</v>
      </c>
      <c r="AA64" s="71" t="s">
        <v>168</v>
      </c>
      <c r="AB64" s="71" t="s">
        <v>168</v>
      </c>
      <c r="AC64" s="71" t="s">
        <v>168</v>
      </c>
      <c r="AD64" s="71" t="s">
        <v>168</v>
      </c>
      <c r="AE64" s="28" t="s">
        <v>168</v>
      </c>
      <c r="AF64" s="28" t="s">
        <v>168</v>
      </c>
      <c r="AG64" s="28" t="s">
        <v>168</v>
      </c>
      <c r="AH64" s="29" t="s">
        <v>168</v>
      </c>
      <c r="AI64" s="30">
        <f>AI65+AI69</f>
        <v>316955.33999999997</v>
      </c>
      <c r="AJ64" s="31">
        <f t="shared" ref="AJ64:AR64" si="376">AJ65+AJ69</f>
        <v>310744.52999999997</v>
      </c>
      <c r="AK64" s="31">
        <f t="shared" si="376"/>
        <v>107736.43</v>
      </c>
      <c r="AL64" s="31">
        <f t="shared" si="376"/>
        <v>107006.84999999999</v>
      </c>
      <c r="AM64" s="31">
        <f t="shared" si="376"/>
        <v>209218.90999999997</v>
      </c>
      <c r="AN64" s="31">
        <f t="shared" si="376"/>
        <v>203737.68</v>
      </c>
      <c r="AO64" s="31">
        <f t="shared" si="376"/>
        <v>0</v>
      </c>
      <c r="AP64" s="31">
        <f t="shared" si="376"/>
        <v>0</v>
      </c>
      <c r="AQ64" s="31">
        <f t="shared" si="376"/>
        <v>0</v>
      </c>
      <c r="AR64" s="31">
        <f t="shared" si="376"/>
        <v>0</v>
      </c>
      <c r="AS64" s="31">
        <f>AS65+AS69</f>
        <v>371186.04</v>
      </c>
      <c r="AT64" s="31">
        <f t="shared" ref="AT64" si="377">AT65+AT69</f>
        <v>90283.62</v>
      </c>
      <c r="AU64" s="31">
        <f t="shared" ref="AU64" si="378">AU65+AU69</f>
        <v>280902.42</v>
      </c>
      <c r="AV64" s="31">
        <f t="shared" ref="AV64" si="379">AV65+AV69</f>
        <v>0</v>
      </c>
      <c r="AW64" s="31">
        <f t="shared" ref="AW64" si="380">AW65+AW69</f>
        <v>0</v>
      </c>
      <c r="AX64" s="31">
        <f t="shared" ref="AX64" si="381">AX65+AX69</f>
        <v>293193.78999999998</v>
      </c>
      <c r="AY64" s="31">
        <f t="shared" ref="AY64" si="382">AY65+AY69</f>
        <v>90306.7</v>
      </c>
      <c r="AZ64" s="31">
        <f t="shared" ref="AZ64" si="383">AZ65+AZ69</f>
        <v>202887.09</v>
      </c>
      <c r="BA64" s="31">
        <f t="shared" ref="BA64" si="384">BA65+BA69</f>
        <v>0</v>
      </c>
      <c r="BB64" s="31">
        <f t="shared" ref="BB64" si="385">BB65+BB69</f>
        <v>0</v>
      </c>
      <c r="BC64" s="31">
        <f t="shared" ref="BC64" si="386">BC65+BC69</f>
        <v>295537.56999999995</v>
      </c>
      <c r="BD64" s="31">
        <f t="shared" ref="BD64" si="387">BD65+BD69</f>
        <v>90150.48</v>
      </c>
      <c r="BE64" s="31">
        <f t="shared" ref="BE64" si="388">BE65+BE69</f>
        <v>205387.09</v>
      </c>
      <c r="BF64" s="31">
        <f t="shared" ref="BF64" si="389">BF65+BF69</f>
        <v>0</v>
      </c>
      <c r="BG64" s="31">
        <f t="shared" ref="BG64" si="390">BG65+BG69</f>
        <v>0</v>
      </c>
      <c r="BH64" s="31">
        <f t="shared" ref="BH64" si="391">BH65+BH69</f>
        <v>205387.13999999998</v>
      </c>
      <c r="BI64" s="31">
        <f t="shared" ref="BI64" si="392">BI65+BI69</f>
        <v>0</v>
      </c>
      <c r="BJ64" s="31">
        <f t="shared" ref="BJ64" si="393">BJ65+BJ69</f>
        <v>205387.13999999998</v>
      </c>
      <c r="BK64" s="31">
        <f t="shared" ref="BK64" si="394">BK65+BK69</f>
        <v>0</v>
      </c>
      <c r="BL64" s="32">
        <f t="shared" ref="BL64" si="395">BL65+BL69</f>
        <v>0</v>
      </c>
      <c r="BM64" s="30">
        <f>BM65+BM69</f>
        <v>293184.81000000006</v>
      </c>
      <c r="BN64" s="31">
        <f t="shared" ref="BN64:BV64" si="396">BN65+BN69</f>
        <v>286974</v>
      </c>
      <c r="BO64" s="31">
        <f t="shared" si="396"/>
        <v>90763.4</v>
      </c>
      <c r="BP64" s="31">
        <f t="shared" si="396"/>
        <v>90033.819999999992</v>
      </c>
      <c r="BQ64" s="31">
        <f t="shared" si="396"/>
        <v>202421.41</v>
      </c>
      <c r="BR64" s="31">
        <f t="shared" si="396"/>
        <v>196940.18000000002</v>
      </c>
      <c r="BS64" s="31">
        <f t="shared" si="396"/>
        <v>0</v>
      </c>
      <c r="BT64" s="31">
        <f t="shared" si="396"/>
        <v>0</v>
      </c>
      <c r="BU64" s="31">
        <f t="shared" si="396"/>
        <v>0</v>
      </c>
      <c r="BV64" s="32">
        <f t="shared" si="396"/>
        <v>0</v>
      </c>
      <c r="BW64" s="31">
        <f>BW65+BW69</f>
        <v>308513.06999999995</v>
      </c>
      <c r="BX64" s="31">
        <f t="shared" ref="BX64:CA64" si="397">BX65+BX69</f>
        <v>90541.62999999999</v>
      </c>
      <c r="BY64" s="31">
        <f t="shared" si="397"/>
        <v>217971.43999999997</v>
      </c>
      <c r="BZ64" s="31">
        <f t="shared" si="397"/>
        <v>0</v>
      </c>
      <c r="CA64" s="31">
        <f t="shared" si="397"/>
        <v>0</v>
      </c>
      <c r="CB64" s="31">
        <f t="shared" ref="CB64:CP64" si="398">CB65+CB69</f>
        <v>283638.73</v>
      </c>
      <c r="CC64" s="31">
        <f t="shared" si="398"/>
        <v>90150.48</v>
      </c>
      <c r="CD64" s="31">
        <f t="shared" si="398"/>
        <v>193488.25</v>
      </c>
      <c r="CE64" s="31">
        <f t="shared" si="398"/>
        <v>0</v>
      </c>
      <c r="CF64" s="31">
        <f t="shared" si="398"/>
        <v>0</v>
      </c>
      <c r="CG64" s="31">
        <f t="shared" si="398"/>
        <v>283638.73</v>
      </c>
      <c r="CH64" s="31">
        <f t="shared" si="398"/>
        <v>90150.48</v>
      </c>
      <c r="CI64" s="31">
        <f t="shared" si="398"/>
        <v>193488.25</v>
      </c>
      <c r="CJ64" s="31">
        <f t="shared" si="398"/>
        <v>0</v>
      </c>
      <c r="CK64" s="31">
        <f t="shared" si="398"/>
        <v>0</v>
      </c>
      <c r="CL64" s="31">
        <f t="shared" si="398"/>
        <v>283638.73</v>
      </c>
      <c r="CM64" s="31">
        <f t="shared" si="398"/>
        <v>90150.48</v>
      </c>
      <c r="CN64" s="31">
        <f t="shared" si="398"/>
        <v>193488.25</v>
      </c>
      <c r="CO64" s="31">
        <f t="shared" si="398"/>
        <v>0</v>
      </c>
      <c r="CP64" s="32">
        <f t="shared" si="398"/>
        <v>0</v>
      </c>
      <c r="CQ64" s="33">
        <v>316955.33999999997</v>
      </c>
      <c r="CR64" s="34">
        <v>107736.43</v>
      </c>
      <c r="CS64" s="34">
        <v>209218.90999999997</v>
      </c>
      <c r="CT64" s="34">
        <v>0</v>
      </c>
      <c r="CU64" s="35">
        <v>0</v>
      </c>
      <c r="CV64" s="30">
        <f>CV65+CV69</f>
        <v>362237.8</v>
      </c>
      <c r="CW64" s="31">
        <f t="shared" ref="CW64:DE64" si="399">CW65+CW69</f>
        <v>90541.62999999999</v>
      </c>
      <c r="CX64" s="31">
        <f t="shared" si="399"/>
        <v>271696.17</v>
      </c>
      <c r="CY64" s="31">
        <f t="shared" si="399"/>
        <v>0</v>
      </c>
      <c r="CZ64" s="32">
        <f t="shared" si="399"/>
        <v>0</v>
      </c>
      <c r="DA64" s="30">
        <f t="shared" si="399"/>
        <v>284023.96000000002</v>
      </c>
      <c r="DB64" s="31">
        <f t="shared" si="399"/>
        <v>90150.48</v>
      </c>
      <c r="DC64" s="31">
        <f t="shared" si="399"/>
        <v>193873.47999999998</v>
      </c>
      <c r="DD64" s="31">
        <f t="shared" si="399"/>
        <v>0</v>
      </c>
      <c r="DE64" s="32">
        <f t="shared" si="399"/>
        <v>0</v>
      </c>
      <c r="DF64" s="33">
        <v>293184.81000000006</v>
      </c>
      <c r="DG64" s="34">
        <v>90763.4</v>
      </c>
      <c r="DH64" s="34">
        <v>202421.41</v>
      </c>
      <c r="DI64" s="31">
        <f t="shared" ref="DI64" si="400">DI65+DI69</f>
        <v>0</v>
      </c>
      <c r="DJ64" s="34">
        <v>0</v>
      </c>
      <c r="DK64" s="31">
        <f>DK65+DK69</f>
        <v>308513.06999999995</v>
      </c>
      <c r="DL64" s="31">
        <f t="shared" ref="DL64:DT64" si="401">DL65+DL69</f>
        <v>90541.62999999999</v>
      </c>
      <c r="DM64" s="31">
        <f t="shared" si="401"/>
        <v>217971.43999999997</v>
      </c>
      <c r="DN64" s="31">
        <f t="shared" si="401"/>
        <v>0</v>
      </c>
      <c r="DO64" s="31">
        <f t="shared" si="401"/>
        <v>0</v>
      </c>
      <c r="DP64" s="31">
        <f t="shared" si="401"/>
        <v>283638.73</v>
      </c>
      <c r="DQ64" s="31">
        <f t="shared" si="401"/>
        <v>90150.48</v>
      </c>
      <c r="DR64" s="31">
        <f t="shared" si="401"/>
        <v>193488.25</v>
      </c>
      <c r="DS64" s="31">
        <f t="shared" si="401"/>
        <v>0</v>
      </c>
      <c r="DT64" s="31">
        <f t="shared" si="401"/>
        <v>0</v>
      </c>
      <c r="DU64" s="36" t="s">
        <v>0</v>
      </c>
    </row>
    <row r="65" spans="1:125" s="37" customFormat="1" ht="21" x14ac:dyDescent="0.2">
      <c r="A65" s="26" t="s">
        <v>312</v>
      </c>
      <c r="B65" s="26" t="s">
        <v>313</v>
      </c>
      <c r="C65" s="27" t="s">
        <v>314</v>
      </c>
      <c r="D65" s="71" t="s">
        <v>168</v>
      </c>
      <c r="E65" s="71" t="s">
        <v>168</v>
      </c>
      <c r="F65" s="71" t="s">
        <v>168</v>
      </c>
      <c r="G65" s="71" t="s">
        <v>168</v>
      </c>
      <c r="H65" s="71" t="s">
        <v>168</v>
      </c>
      <c r="I65" s="71" t="s">
        <v>168</v>
      </c>
      <c r="J65" s="71" t="s">
        <v>168</v>
      </c>
      <c r="K65" s="71" t="s">
        <v>168</v>
      </c>
      <c r="L65" s="71" t="s">
        <v>168</v>
      </c>
      <c r="M65" s="71" t="s">
        <v>168</v>
      </c>
      <c r="N65" s="71" t="s">
        <v>168</v>
      </c>
      <c r="O65" s="71" t="s">
        <v>168</v>
      </c>
      <c r="P65" s="71" t="s">
        <v>168</v>
      </c>
      <c r="Q65" s="71" t="s">
        <v>168</v>
      </c>
      <c r="R65" s="71" t="s">
        <v>168</v>
      </c>
      <c r="S65" s="71" t="s">
        <v>168</v>
      </c>
      <c r="T65" s="71" t="s">
        <v>168</v>
      </c>
      <c r="U65" s="71" t="s">
        <v>168</v>
      </c>
      <c r="V65" s="71" t="s">
        <v>168</v>
      </c>
      <c r="W65" s="71" t="s">
        <v>168</v>
      </c>
      <c r="X65" s="71" t="s">
        <v>168</v>
      </c>
      <c r="Y65" s="71" t="s">
        <v>168</v>
      </c>
      <c r="Z65" s="71" t="s">
        <v>168</v>
      </c>
      <c r="AA65" s="71" t="s">
        <v>168</v>
      </c>
      <c r="AB65" s="71" t="s">
        <v>168</v>
      </c>
      <c r="AC65" s="71" t="s">
        <v>168</v>
      </c>
      <c r="AD65" s="71" t="s">
        <v>168</v>
      </c>
      <c r="AE65" s="28" t="s">
        <v>168</v>
      </c>
      <c r="AF65" s="28" t="s">
        <v>168</v>
      </c>
      <c r="AG65" s="28" t="s">
        <v>168</v>
      </c>
      <c r="AH65" s="29" t="s">
        <v>168</v>
      </c>
      <c r="AI65" s="30">
        <f>SUM(AI66:AI68)</f>
        <v>1972.4</v>
      </c>
      <c r="AJ65" s="31">
        <f t="shared" ref="AJ65:AR65" si="402">SUM(AJ66:AJ68)</f>
        <v>1877.7599999999998</v>
      </c>
      <c r="AK65" s="31">
        <f t="shared" si="402"/>
        <v>1972.4</v>
      </c>
      <c r="AL65" s="31">
        <f t="shared" si="402"/>
        <v>1877.7599999999998</v>
      </c>
      <c r="AM65" s="31">
        <f t="shared" si="402"/>
        <v>0</v>
      </c>
      <c r="AN65" s="31">
        <f t="shared" si="402"/>
        <v>0</v>
      </c>
      <c r="AO65" s="31">
        <f t="shared" si="402"/>
        <v>0</v>
      </c>
      <c r="AP65" s="31">
        <f t="shared" si="402"/>
        <v>0</v>
      </c>
      <c r="AQ65" s="31">
        <f t="shared" si="402"/>
        <v>0</v>
      </c>
      <c r="AR65" s="31">
        <f t="shared" si="402"/>
        <v>0</v>
      </c>
      <c r="AS65" s="31">
        <f>SUM(AS66:AS68)</f>
        <v>133.12</v>
      </c>
      <c r="AT65" s="31">
        <f t="shared" ref="AT65" si="403">SUM(AT66:AT68)</f>
        <v>133.12</v>
      </c>
      <c r="AU65" s="31">
        <f t="shared" ref="AU65" si="404">SUM(AU66:AU68)</f>
        <v>0</v>
      </c>
      <c r="AV65" s="31">
        <f t="shared" ref="AV65" si="405">SUM(AV66:AV68)</f>
        <v>0</v>
      </c>
      <c r="AW65" s="31">
        <f t="shared" ref="AW65" si="406">SUM(AW66:AW68)</f>
        <v>0</v>
      </c>
      <c r="AX65" s="31">
        <f t="shared" ref="AX65" si="407">SUM(AX66:AX68)</f>
        <v>0</v>
      </c>
      <c r="AY65" s="31">
        <f t="shared" ref="AY65" si="408">SUM(AY66:AY68)</f>
        <v>0</v>
      </c>
      <c r="AZ65" s="31">
        <f t="shared" ref="AZ65" si="409">SUM(AZ66:AZ68)</f>
        <v>0</v>
      </c>
      <c r="BA65" s="31">
        <f t="shared" ref="BA65" si="410">SUM(BA66:BA68)</f>
        <v>0</v>
      </c>
      <c r="BB65" s="31">
        <f t="shared" ref="BB65" si="411">SUM(BB66:BB68)</f>
        <v>0</v>
      </c>
      <c r="BC65" s="31">
        <f t="shared" ref="BC65" si="412">SUM(BC66:BC68)</f>
        <v>0</v>
      </c>
      <c r="BD65" s="31">
        <f t="shared" ref="BD65" si="413">SUM(BD66:BD68)</f>
        <v>0</v>
      </c>
      <c r="BE65" s="31">
        <f t="shared" ref="BE65" si="414">SUM(BE66:BE68)</f>
        <v>0</v>
      </c>
      <c r="BF65" s="31">
        <f t="shared" ref="BF65" si="415">SUM(BF66:BF68)</f>
        <v>0</v>
      </c>
      <c r="BG65" s="31">
        <f t="shared" ref="BG65" si="416">SUM(BG66:BG68)</f>
        <v>0</v>
      </c>
      <c r="BH65" s="31">
        <f t="shared" ref="BH65" si="417">SUM(BH66:BH68)</f>
        <v>0</v>
      </c>
      <c r="BI65" s="31">
        <f t="shared" ref="BI65" si="418">SUM(BI66:BI68)</f>
        <v>0</v>
      </c>
      <c r="BJ65" s="31">
        <f t="shared" ref="BJ65" si="419">SUM(BJ66:BJ68)</f>
        <v>0</v>
      </c>
      <c r="BK65" s="31">
        <f t="shared" ref="BK65" si="420">SUM(BK66:BK68)</f>
        <v>0</v>
      </c>
      <c r="BL65" s="32">
        <f t="shared" ref="BL65" si="421">SUM(BL66:BL68)</f>
        <v>0</v>
      </c>
      <c r="BM65" s="30">
        <f>SUM(BM66:BM68)</f>
        <v>1972.4</v>
      </c>
      <c r="BN65" s="31">
        <f t="shared" ref="BN65:BV65" si="422">SUM(BN66:BN68)</f>
        <v>1877.7599999999998</v>
      </c>
      <c r="BO65" s="31">
        <f t="shared" si="422"/>
        <v>1972.4</v>
      </c>
      <c r="BP65" s="31">
        <f t="shared" si="422"/>
        <v>1877.7599999999998</v>
      </c>
      <c r="BQ65" s="31">
        <f t="shared" si="422"/>
        <v>0</v>
      </c>
      <c r="BR65" s="31">
        <f t="shared" si="422"/>
        <v>0</v>
      </c>
      <c r="BS65" s="31">
        <f t="shared" si="422"/>
        <v>0</v>
      </c>
      <c r="BT65" s="31">
        <f t="shared" si="422"/>
        <v>0</v>
      </c>
      <c r="BU65" s="31">
        <f t="shared" si="422"/>
        <v>0</v>
      </c>
      <c r="BV65" s="32">
        <f t="shared" si="422"/>
        <v>0</v>
      </c>
      <c r="BW65" s="31">
        <f>SUM(BW66:BW68)</f>
        <v>133.12</v>
      </c>
      <c r="BX65" s="31">
        <f t="shared" ref="BX65:CA65" si="423">SUM(BX66:BX68)</f>
        <v>133.12</v>
      </c>
      <c r="BY65" s="31">
        <f t="shared" si="423"/>
        <v>0</v>
      </c>
      <c r="BZ65" s="31">
        <f t="shared" si="423"/>
        <v>0</v>
      </c>
      <c r="CA65" s="31">
        <f t="shared" si="423"/>
        <v>0</v>
      </c>
      <c r="CB65" s="31">
        <f t="shared" ref="CB65:CP65" si="424">SUM(CB66:CB68)</f>
        <v>0</v>
      </c>
      <c r="CC65" s="31">
        <f t="shared" si="424"/>
        <v>0</v>
      </c>
      <c r="CD65" s="31">
        <f t="shared" si="424"/>
        <v>0</v>
      </c>
      <c r="CE65" s="31">
        <f t="shared" si="424"/>
        <v>0</v>
      </c>
      <c r="CF65" s="31">
        <f t="shared" si="424"/>
        <v>0</v>
      </c>
      <c r="CG65" s="31">
        <f t="shared" si="424"/>
        <v>0</v>
      </c>
      <c r="CH65" s="31">
        <f t="shared" si="424"/>
        <v>0</v>
      </c>
      <c r="CI65" s="31">
        <f t="shared" si="424"/>
        <v>0</v>
      </c>
      <c r="CJ65" s="31">
        <f t="shared" si="424"/>
        <v>0</v>
      </c>
      <c r="CK65" s="31">
        <f t="shared" si="424"/>
        <v>0</v>
      </c>
      <c r="CL65" s="31">
        <f t="shared" si="424"/>
        <v>0</v>
      </c>
      <c r="CM65" s="31">
        <f t="shared" si="424"/>
        <v>0</v>
      </c>
      <c r="CN65" s="31">
        <f t="shared" si="424"/>
        <v>0</v>
      </c>
      <c r="CO65" s="31">
        <f t="shared" si="424"/>
        <v>0</v>
      </c>
      <c r="CP65" s="32">
        <f t="shared" si="424"/>
        <v>0</v>
      </c>
      <c r="CQ65" s="33">
        <v>1972.4</v>
      </c>
      <c r="CR65" s="34">
        <v>1972.4</v>
      </c>
      <c r="CS65" s="34">
        <v>0</v>
      </c>
      <c r="CT65" s="34">
        <v>0</v>
      </c>
      <c r="CU65" s="35">
        <v>0</v>
      </c>
      <c r="CV65" s="30">
        <f>SUM(CV66:CV68)</f>
        <v>133.12</v>
      </c>
      <c r="CW65" s="31">
        <f t="shared" ref="CW65:DE65" si="425">SUM(CW66:CW68)</f>
        <v>133.12</v>
      </c>
      <c r="CX65" s="31">
        <f t="shared" si="425"/>
        <v>0</v>
      </c>
      <c r="CY65" s="31">
        <f t="shared" si="425"/>
        <v>0</v>
      </c>
      <c r="CZ65" s="32">
        <f t="shared" si="425"/>
        <v>0</v>
      </c>
      <c r="DA65" s="30">
        <f t="shared" si="425"/>
        <v>0</v>
      </c>
      <c r="DB65" s="31">
        <f t="shared" si="425"/>
        <v>0</v>
      </c>
      <c r="DC65" s="31">
        <f t="shared" si="425"/>
        <v>0</v>
      </c>
      <c r="DD65" s="31">
        <f t="shared" si="425"/>
        <v>0</v>
      </c>
      <c r="DE65" s="32">
        <f t="shared" si="425"/>
        <v>0</v>
      </c>
      <c r="DF65" s="33">
        <v>1972.4</v>
      </c>
      <c r="DG65" s="34">
        <v>1972.4</v>
      </c>
      <c r="DH65" s="34">
        <v>0</v>
      </c>
      <c r="DI65" s="31">
        <f t="shared" ref="DI65" si="426">SUM(DI66:DI68)</f>
        <v>0</v>
      </c>
      <c r="DJ65" s="34">
        <v>0</v>
      </c>
      <c r="DK65" s="31">
        <f>SUM(DK66:DK68)</f>
        <v>133.12</v>
      </c>
      <c r="DL65" s="31">
        <f t="shared" ref="DL65:DT65" si="427">SUM(DL66:DL68)</f>
        <v>133.12</v>
      </c>
      <c r="DM65" s="31">
        <f t="shared" si="427"/>
        <v>0</v>
      </c>
      <c r="DN65" s="31">
        <f t="shared" si="427"/>
        <v>0</v>
      </c>
      <c r="DO65" s="31">
        <f t="shared" si="427"/>
        <v>0</v>
      </c>
      <c r="DP65" s="31">
        <f t="shared" si="427"/>
        <v>0</v>
      </c>
      <c r="DQ65" s="31">
        <f t="shared" si="427"/>
        <v>0</v>
      </c>
      <c r="DR65" s="31">
        <f t="shared" si="427"/>
        <v>0</v>
      </c>
      <c r="DS65" s="31">
        <f t="shared" si="427"/>
        <v>0</v>
      </c>
      <c r="DT65" s="31">
        <f t="shared" si="427"/>
        <v>0</v>
      </c>
      <c r="DU65" s="36" t="s">
        <v>0</v>
      </c>
    </row>
    <row r="66" spans="1:125" customFormat="1" ht="123.75" x14ac:dyDescent="0.2">
      <c r="A66" s="38" t="s">
        <v>315</v>
      </c>
      <c r="B66" s="38" t="s">
        <v>316</v>
      </c>
      <c r="C66" s="39" t="s">
        <v>317</v>
      </c>
      <c r="D66" s="40" t="s">
        <v>454</v>
      </c>
      <c r="E66" s="40" t="s">
        <v>0</v>
      </c>
      <c r="F66" s="40" t="s">
        <v>0</v>
      </c>
      <c r="G66" s="40" t="s">
        <v>0</v>
      </c>
      <c r="H66" s="40" t="s">
        <v>0</v>
      </c>
      <c r="I66" s="40" t="s">
        <v>0</v>
      </c>
      <c r="J66" s="40" t="s">
        <v>0</v>
      </c>
      <c r="K66" s="40" t="s">
        <v>0</v>
      </c>
      <c r="L66" s="40" t="s">
        <v>0</v>
      </c>
      <c r="M66" s="40" t="s">
        <v>0</v>
      </c>
      <c r="N66" s="40" t="s">
        <v>0</v>
      </c>
      <c r="O66" s="40" t="s">
        <v>0</v>
      </c>
      <c r="P66" s="40" t="s">
        <v>0</v>
      </c>
      <c r="Q66" s="40" t="s">
        <v>0</v>
      </c>
      <c r="R66" s="40" t="s">
        <v>0</v>
      </c>
      <c r="S66" s="40" t="s">
        <v>0</v>
      </c>
      <c r="T66" s="40" t="s">
        <v>0</v>
      </c>
      <c r="U66" s="40" t="s">
        <v>0</v>
      </c>
      <c r="V66" s="40" t="s">
        <v>0</v>
      </c>
      <c r="W66" s="40" t="s">
        <v>0</v>
      </c>
      <c r="X66" s="40" t="s">
        <v>455</v>
      </c>
      <c r="Y66" s="40" t="s">
        <v>0</v>
      </c>
      <c r="Z66" s="40" t="s">
        <v>0</v>
      </c>
      <c r="AA66" s="40"/>
      <c r="AB66" s="40" t="s">
        <v>0</v>
      </c>
      <c r="AC66" s="40" t="s">
        <v>0</v>
      </c>
      <c r="AD66" s="40" t="s">
        <v>506</v>
      </c>
      <c r="AE66" s="41"/>
      <c r="AF66" s="41"/>
      <c r="AG66" s="42" t="s">
        <v>0</v>
      </c>
      <c r="AH66" s="43" t="s">
        <v>318</v>
      </c>
      <c r="AI66" s="44">
        <v>0</v>
      </c>
      <c r="AJ66" s="45">
        <v>0</v>
      </c>
      <c r="AK66" s="45">
        <v>0</v>
      </c>
      <c r="AL66" s="52">
        <v>0</v>
      </c>
      <c r="AM66" s="45">
        <v>0</v>
      </c>
      <c r="AN66" s="45">
        <v>0</v>
      </c>
      <c r="AO66" s="45">
        <v>0</v>
      </c>
      <c r="AP66" s="45">
        <v>0</v>
      </c>
      <c r="AQ66" s="45">
        <v>0</v>
      </c>
      <c r="AR66" s="45">
        <v>0</v>
      </c>
      <c r="AS66" s="45">
        <v>133.12</v>
      </c>
      <c r="AT66" s="45">
        <f>AS66</f>
        <v>133.12</v>
      </c>
      <c r="AU66" s="45">
        <v>0</v>
      </c>
      <c r="AV66" s="45">
        <v>0</v>
      </c>
      <c r="AW66" s="45">
        <v>0</v>
      </c>
      <c r="AX66" s="45">
        <v>0</v>
      </c>
      <c r="AY66" s="45">
        <v>0</v>
      </c>
      <c r="AZ66" s="45">
        <v>0</v>
      </c>
      <c r="BA66" s="45">
        <v>0</v>
      </c>
      <c r="BB66" s="45">
        <v>0</v>
      </c>
      <c r="BC66" s="45">
        <v>0</v>
      </c>
      <c r="BD66" s="45">
        <v>0</v>
      </c>
      <c r="BE66" s="45">
        <v>0</v>
      </c>
      <c r="BF66" s="45">
        <v>0</v>
      </c>
      <c r="BG66" s="45">
        <v>0</v>
      </c>
      <c r="BH66" s="45">
        <v>0</v>
      </c>
      <c r="BI66" s="45">
        <v>0</v>
      </c>
      <c r="BJ66" s="45">
        <v>0</v>
      </c>
      <c r="BK66" s="45">
        <v>0</v>
      </c>
      <c r="BL66" s="49">
        <v>0</v>
      </c>
      <c r="BM66" s="44">
        <v>0</v>
      </c>
      <c r="BN66" s="45">
        <v>0</v>
      </c>
      <c r="BO66" s="45">
        <v>0</v>
      </c>
      <c r="BP66" s="52">
        <v>0</v>
      </c>
      <c r="BQ66" s="45">
        <v>0</v>
      </c>
      <c r="BR66" s="45">
        <v>0</v>
      </c>
      <c r="BS66" s="45">
        <v>0</v>
      </c>
      <c r="BT66" s="45">
        <v>0</v>
      </c>
      <c r="BU66" s="45">
        <v>0</v>
      </c>
      <c r="BV66" s="49">
        <v>0</v>
      </c>
      <c r="BW66" s="45">
        <v>133.12</v>
      </c>
      <c r="BX66" s="45">
        <f>BW66</f>
        <v>133.12</v>
      </c>
      <c r="BY66" s="45">
        <v>0</v>
      </c>
      <c r="BZ66" s="45">
        <v>0</v>
      </c>
      <c r="CA66" s="45">
        <v>0</v>
      </c>
      <c r="CB66" s="45">
        <v>0</v>
      </c>
      <c r="CC66" s="45">
        <v>0</v>
      </c>
      <c r="CD66" s="45">
        <v>0</v>
      </c>
      <c r="CE66" s="45">
        <v>0</v>
      </c>
      <c r="CF66" s="45">
        <v>0</v>
      </c>
      <c r="CG66" s="45">
        <v>0</v>
      </c>
      <c r="CH66" s="45">
        <v>0</v>
      </c>
      <c r="CI66" s="45">
        <v>0</v>
      </c>
      <c r="CJ66" s="45">
        <v>0</v>
      </c>
      <c r="CK66" s="45">
        <v>0</v>
      </c>
      <c r="CL66" s="45">
        <v>0</v>
      </c>
      <c r="CM66" s="45">
        <v>0</v>
      </c>
      <c r="CN66" s="45">
        <v>0</v>
      </c>
      <c r="CO66" s="45">
        <v>0</v>
      </c>
      <c r="CP66" s="49">
        <v>0</v>
      </c>
      <c r="CQ66" s="48">
        <v>0</v>
      </c>
      <c r="CR66" s="46">
        <v>0</v>
      </c>
      <c r="CS66" s="46">
        <v>0</v>
      </c>
      <c r="CT66" s="46">
        <v>0</v>
      </c>
      <c r="CU66" s="47">
        <v>0</v>
      </c>
      <c r="CV66" s="44">
        <v>133.12</v>
      </c>
      <c r="CW66" s="45">
        <f>CV66</f>
        <v>133.12</v>
      </c>
      <c r="CX66" s="45">
        <v>0</v>
      </c>
      <c r="CY66" s="45">
        <v>0</v>
      </c>
      <c r="CZ66" s="49">
        <v>0</v>
      </c>
      <c r="DA66" s="44">
        <v>0</v>
      </c>
      <c r="DB66" s="45">
        <v>0</v>
      </c>
      <c r="DC66" s="45">
        <v>0</v>
      </c>
      <c r="DD66" s="45">
        <v>0</v>
      </c>
      <c r="DE66" s="49">
        <v>0</v>
      </c>
      <c r="DF66" s="48">
        <v>0</v>
      </c>
      <c r="DG66" s="46">
        <v>0</v>
      </c>
      <c r="DH66" s="46">
        <v>0</v>
      </c>
      <c r="DI66" s="45">
        <v>0</v>
      </c>
      <c r="DJ66" s="46">
        <v>0</v>
      </c>
      <c r="DK66" s="45">
        <v>133.12</v>
      </c>
      <c r="DL66" s="45">
        <f>DK66</f>
        <v>133.12</v>
      </c>
      <c r="DM66" s="45">
        <v>0</v>
      </c>
      <c r="DN66" s="45">
        <v>0</v>
      </c>
      <c r="DO66" s="45">
        <v>0</v>
      </c>
      <c r="DP66" s="45">
        <v>0</v>
      </c>
      <c r="DQ66" s="45">
        <v>0</v>
      </c>
      <c r="DR66" s="45">
        <v>0</v>
      </c>
      <c r="DS66" s="45">
        <v>0</v>
      </c>
      <c r="DT66" s="45">
        <v>0</v>
      </c>
      <c r="DU66" s="50" t="s">
        <v>219</v>
      </c>
    </row>
    <row r="67" spans="1:125" customFormat="1" ht="157.5" x14ac:dyDescent="0.2">
      <c r="A67" s="38" t="s">
        <v>650</v>
      </c>
      <c r="B67" s="38" t="s">
        <v>651</v>
      </c>
      <c r="C67" s="39" t="s">
        <v>652</v>
      </c>
      <c r="D67" s="41" t="s">
        <v>653</v>
      </c>
      <c r="E67" s="41" t="s">
        <v>397</v>
      </c>
      <c r="F67" s="41" t="s">
        <v>654</v>
      </c>
      <c r="G67" s="41" t="s">
        <v>0</v>
      </c>
      <c r="H67" s="41" t="s">
        <v>0</v>
      </c>
      <c r="I67" s="41" t="s">
        <v>0</v>
      </c>
      <c r="J67" s="41" t="s">
        <v>0</v>
      </c>
      <c r="K67" s="41" t="s">
        <v>0</v>
      </c>
      <c r="L67" s="41" t="s">
        <v>0</v>
      </c>
      <c r="M67" s="41" t="s">
        <v>0</v>
      </c>
      <c r="N67" s="41" t="s">
        <v>0</v>
      </c>
      <c r="O67" s="41" t="s">
        <v>0</v>
      </c>
      <c r="P67" s="41" t="s">
        <v>0</v>
      </c>
      <c r="Q67" s="41" t="s">
        <v>0</v>
      </c>
      <c r="R67" s="41" t="s">
        <v>0</v>
      </c>
      <c r="S67" s="41" t="s">
        <v>0</v>
      </c>
      <c r="T67" s="41" t="s">
        <v>0</v>
      </c>
      <c r="U67" s="41" t="s">
        <v>0</v>
      </c>
      <c r="V67" s="41" t="s">
        <v>0</v>
      </c>
      <c r="W67" s="41" t="s">
        <v>0</v>
      </c>
      <c r="X67" s="41" t="s">
        <v>655</v>
      </c>
      <c r="Y67" s="41" t="s">
        <v>397</v>
      </c>
      <c r="Z67" s="41" t="s">
        <v>656</v>
      </c>
      <c r="AA67" s="41" t="s">
        <v>657</v>
      </c>
      <c r="AB67" s="41" t="s">
        <v>397</v>
      </c>
      <c r="AC67" s="41" t="s">
        <v>658</v>
      </c>
      <c r="AD67" s="55" t="s">
        <v>686</v>
      </c>
      <c r="AE67" s="41"/>
      <c r="AF67" s="41"/>
      <c r="AG67" s="42" t="s">
        <v>0</v>
      </c>
      <c r="AH67" s="43" t="s">
        <v>292</v>
      </c>
      <c r="AI67" s="44">
        <v>815.4</v>
      </c>
      <c r="AJ67" s="45">
        <v>813.9</v>
      </c>
      <c r="AK67" s="45">
        <v>815.4</v>
      </c>
      <c r="AL67" s="45">
        <v>813.9</v>
      </c>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9"/>
      <c r="BM67" s="44">
        <v>815.4</v>
      </c>
      <c r="BN67" s="45">
        <v>813.9</v>
      </c>
      <c r="BO67" s="45">
        <v>815.4</v>
      </c>
      <c r="BP67" s="45">
        <v>813.9</v>
      </c>
      <c r="BQ67" s="45"/>
      <c r="BR67" s="45"/>
      <c r="BS67" s="45"/>
      <c r="BT67" s="45"/>
      <c r="BU67" s="45"/>
      <c r="BV67" s="49"/>
      <c r="BW67" s="45"/>
      <c r="BX67" s="45"/>
      <c r="BY67" s="45"/>
      <c r="BZ67" s="45"/>
      <c r="CA67" s="45"/>
      <c r="CB67" s="45"/>
      <c r="CC67" s="45"/>
      <c r="CD67" s="45"/>
      <c r="CE67" s="45"/>
      <c r="CF67" s="45"/>
      <c r="CG67" s="45"/>
      <c r="CH67" s="45"/>
      <c r="CI67" s="45"/>
      <c r="CJ67" s="45"/>
      <c r="CK67" s="45"/>
      <c r="CL67" s="45"/>
      <c r="CM67" s="45"/>
      <c r="CN67" s="45"/>
      <c r="CO67" s="45"/>
      <c r="CP67" s="49"/>
      <c r="CQ67" s="48">
        <v>815.4</v>
      </c>
      <c r="CR67" s="46">
        <v>815.4</v>
      </c>
      <c r="CS67" s="46"/>
      <c r="CT67" s="46"/>
      <c r="CU67" s="47"/>
      <c r="CV67" s="44"/>
      <c r="CW67" s="45"/>
      <c r="CX67" s="45"/>
      <c r="CY67" s="45"/>
      <c r="CZ67" s="49"/>
      <c r="DA67" s="44"/>
      <c r="DB67" s="45"/>
      <c r="DC67" s="45"/>
      <c r="DD67" s="45"/>
      <c r="DE67" s="49"/>
      <c r="DF67" s="48">
        <v>815.4</v>
      </c>
      <c r="DG67" s="46">
        <v>815.4</v>
      </c>
      <c r="DH67" s="46"/>
      <c r="DI67" s="45"/>
      <c r="DJ67" s="46"/>
      <c r="DK67" s="45"/>
      <c r="DL67" s="45"/>
      <c r="DM67" s="45"/>
      <c r="DN67" s="45"/>
      <c r="DO67" s="45"/>
      <c r="DP67" s="45"/>
      <c r="DQ67" s="45"/>
      <c r="DR67" s="45"/>
      <c r="DS67" s="45"/>
      <c r="DT67" s="45"/>
      <c r="DU67" s="50"/>
    </row>
    <row r="68" spans="1:125" customFormat="1" ht="315" x14ac:dyDescent="0.2">
      <c r="A68" s="38" t="s">
        <v>319</v>
      </c>
      <c r="B68" s="38" t="s">
        <v>320</v>
      </c>
      <c r="C68" s="39" t="s">
        <v>321</v>
      </c>
      <c r="D68" s="40" t="s">
        <v>456</v>
      </c>
      <c r="E68" s="40" t="s">
        <v>0</v>
      </c>
      <c r="F68" s="40" t="s">
        <v>0</v>
      </c>
      <c r="G68" s="40" t="s">
        <v>0</v>
      </c>
      <c r="H68" s="40" t="s">
        <v>0</v>
      </c>
      <c r="I68" s="40" t="s">
        <v>0</v>
      </c>
      <c r="J68" s="40" t="s">
        <v>0</v>
      </c>
      <c r="K68" s="40" t="s">
        <v>457</v>
      </c>
      <c r="L68" s="40" t="s">
        <v>0</v>
      </c>
      <c r="M68" s="40" t="s">
        <v>0</v>
      </c>
      <c r="N68" s="40" t="s">
        <v>0</v>
      </c>
      <c r="O68" s="40" t="s">
        <v>0</v>
      </c>
      <c r="P68" s="40" t="s">
        <v>0</v>
      </c>
      <c r="Q68" s="40" t="s">
        <v>0</v>
      </c>
      <c r="R68" s="40" t="s">
        <v>0</v>
      </c>
      <c r="S68" s="40" t="s">
        <v>0</v>
      </c>
      <c r="T68" s="40" t="s">
        <v>0</v>
      </c>
      <c r="U68" s="40" t="s">
        <v>0</v>
      </c>
      <c r="V68" s="40" t="s">
        <v>0</v>
      </c>
      <c r="W68" s="40" t="s">
        <v>0</v>
      </c>
      <c r="X68" s="40" t="s">
        <v>458</v>
      </c>
      <c r="Y68" s="40" t="s">
        <v>0</v>
      </c>
      <c r="Z68" s="40" t="s">
        <v>0</v>
      </c>
      <c r="AA68" s="40" t="s">
        <v>459</v>
      </c>
      <c r="AB68" s="40" t="s">
        <v>0</v>
      </c>
      <c r="AC68" s="40" t="s">
        <v>0</v>
      </c>
      <c r="AD68" s="40" t="s">
        <v>507</v>
      </c>
      <c r="AE68" s="41"/>
      <c r="AF68" s="41"/>
      <c r="AG68" s="42" t="s">
        <v>0</v>
      </c>
      <c r="AH68" s="43" t="s">
        <v>182</v>
      </c>
      <c r="AI68" s="44">
        <v>1157</v>
      </c>
      <c r="AJ68" s="45">
        <v>1063.8599999999999</v>
      </c>
      <c r="AK68" s="45">
        <v>1157</v>
      </c>
      <c r="AL68" s="45">
        <v>1063.8599999999999</v>
      </c>
      <c r="AM68" s="45">
        <v>0</v>
      </c>
      <c r="AN68" s="45">
        <v>0</v>
      </c>
      <c r="AO68" s="45">
        <v>0</v>
      </c>
      <c r="AP68" s="45">
        <v>0</v>
      </c>
      <c r="AQ68" s="45">
        <v>0</v>
      </c>
      <c r="AR68" s="45">
        <v>0</v>
      </c>
      <c r="AS68" s="45">
        <v>0</v>
      </c>
      <c r="AT68" s="45">
        <f>AS68</f>
        <v>0</v>
      </c>
      <c r="AU68" s="45">
        <v>0</v>
      </c>
      <c r="AV68" s="45">
        <v>0</v>
      </c>
      <c r="AW68" s="45">
        <v>0</v>
      </c>
      <c r="AX68" s="45">
        <v>0</v>
      </c>
      <c r="AY68" s="45">
        <v>0</v>
      </c>
      <c r="AZ68" s="45">
        <v>0</v>
      </c>
      <c r="BA68" s="45">
        <v>0</v>
      </c>
      <c r="BB68" s="45">
        <v>0</v>
      </c>
      <c r="BC68" s="45">
        <v>0</v>
      </c>
      <c r="BD68" s="45">
        <v>0</v>
      </c>
      <c r="BE68" s="45">
        <v>0</v>
      </c>
      <c r="BF68" s="45">
        <v>0</v>
      </c>
      <c r="BG68" s="45">
        <v>0</v>
      </c>
      <c r="BH68" s="45">
        <v>0</v>
      </c>
      <c r="BI68" s="45">
        <v>0</v>
      </c>
      <c r="BJ68" s="45">
        <v>0</v>
      </c>
      <c r="BK68" s="45">
        <v>0</v>
      </c>
      <c r="BL68" s="49">
        <v>0</v>
      </c>
      <c r="BM68" s="44">
        <v>1157</v>
      </c>
      <c r="BN68" s="45">
        <v>1063.8599999999999</v>
      </c>
      <c r="BO68" s="45">
        <v>1157</v>
      </c>
      <c r="BP68" s="45">
        <v>1063.8599999999999</v>
      </c>
      <c r="BQ68" s="45">
        <v>0</v>
      </c>
      <c r="BR68" s="45">
        <v>0</v>
      </c>
      <c r="BS68" s="45">
        <v>0</v>
      </c>
      <c r="BT68" s="45">
        <v>0</v>
      </c>
      <c r="BU68" s="45">
        <v>0</v>
      </c>
      <c r="BV68" s="49">
        <v>0</v>
      </c>
      <c r="BW68" s="45">
        <v>0</v>
      </c>
      <c r="BX68" s="45">
        <f>BW68</f>
        <v>0</v>
      </c>
      <c r="BY68" s="45">
        <v>0</v>
      </c>
      <c r="BZ68" s="45">
        <v>0</v>
      </c>
      <c r="CA68" s="45">
        <v>0</v>
      </c>
      <c r="CB68" s="45">
        <v>0</v>
      </c>
      <c r="CC68" s="45">
        <v>0</v>
      </c>
      <c r="CD68" s="45">
        <v>0</v>
      </c>
      <c r="CE68" s="45">
        <v>0</v>
      </c>
      <c r="CF68" s="45">
        <v>0</v>
      </c>
      <c r="CG68" s="45">
        <v>0</v>
      </c>
      <c r="CH68" s="45">
        <v>0</v>
      </c>
      <c r="CI68" s="45">
        <v>0</v>
      </c>
      <c r="CJ68" s="45">
        <v>0</v>
      </c>
      <c r="CK68" s="45">
        <v>0</v>
      </c>
      <c r="CL68" s="45">
        <v>0</v>
      </c>
      <c r="CM68" s="45">
        <v>0</v>
      </c>
      <c r="CN68" s="45">
        <v>0</v>
      </c>
      <c r="CO68" s="45">
        <v>0</v>
      </c>
      <c r="CP68" s="49">
        <v>0</v>
      </c>
      <c r="CQ68" s="48">
        <v>1157</v>
      </c>
      <c r="CR68" s="46">
        <v>1157</v>
      </c>
      <c r="CS68" s="46">
        <v>0</v>
      </c>
      <c r="CT68" s="46">
        <v>0</v>
      </c>
      <c r="CU68" s="47">
        <v>0</v>
      </c>
      <c r="CV68" s="44">
        <v>0</v>
      </c>
      <c r="CW68" s="45">
        <f>CV68</f>
        <v>0</v>
      </c>
      <c r="CX68" s="45">
        <v>0</v>
      </c>
      <c r="CY68" s="45">
        <v>0</v>
      </c>
      <c r="CZ68" s="49">
        <v>0</v>
      </c>
      <c r="DA68" s="44">
        <v>0</v>
      </c>
      <c r="DB68" s="45">
        <v>0</v>
      </c>
      <c r="DC68" s="45">
        <v>0</v>
      </c>
      <c r="DD68" s="45">
        <v>0</v>
      </c>
      <c r="DE68" s="49">
        <v>0</v>
      </c>
      <c r="DF68" s="48">
        <v>1157</v>
      </c>
      <c r="DG68" s="46">
        <v>1157</v>
      </c>
      <c r="DH68" s="46">
        <v>0</v>
      </c>
      <c r="DI68" s="45">
        <v>0</v>
      </c>
      <c r="DJ68" s="46">
        <v>0</v>
      </c>
      <c r="DK68" s="45">
        <v>0</v>
      </c>
      <c r="DL68" s="45">
        <f>DK68</f>
        <v>0</v>
      </c>
      <c r="DM68" s="45">
        <v>0</v>
      </c>
      <c r="DN68" s="45">
        <v>0</v>
      </c>
      <c r="DO68" s="45">
        <v>0</v>
      </c>
      <c r="DP68" s="45">
        <v>0</v>
      </c>
      <c r="DQ68" s="45">
        <v>0</v>
      </c>
      <c r="DR68" s="45">
        <v>0</v>
      </c>
      <c r="DS68" s="45">
        <v>0</v>
      </c>
      <c r="DT68" s="45">
        <v>0</v>
      </c>
      <c r="DU68" s="50" t="s">
        <v>219</v>
      </c>
    </row>
    <row r="69" spans="1:125" s="37" customFormat="1" ht="31.5" x14ac:dyDescent="0.2">
      <c r="A69" s="26" t="s">
        <v>322</v>
      </c>
      <c r="B69" s="26" t="s">
        <v>323</v>
      </c>
      <c r="C69" s="27" t="s">
        <v>324</v>
      </c>
      <c r="D69" s="71" t="s">
        <v>168</v>
      </c>
      <c r="E69" s="71" t="s">
        <v>168</v>
      </c>
      <c r="F69" s="71" t="s">
        <v>168</v>
      </c>
      <c r="G69" s="71" t="s">
        <v>168</v>
      </c>
      <c r="H69" s="71" t="s">
        <v>168</v>
      </c>
      <c r="I69" s="71" t="s">
        <v>168</v>
      </c>
      <c r="J69" s="71" t="s">
        <v>168</v>
      </c>
      <c r="K69" s="71" t="s">
        <v>168</v>
      </c>
      <c r="L69" s="71" t="s">
        <v>168</v>
      </c>
      <c r="M69" s="71" t="s">
        <v>168</v>
      </c>
      <c r="N69" s="71" t="s">
        <v>168</v>
      </c>
      <c r="O69" s="71" t="s">
        <v>168</v>
      </c>
      <c r="P69" s="71" t="s">
        <v>168</v>
      </c>
      <c r="Q69" s="71" t="s">
        <v>168</v>
      </c>
      <c r="R69" s="71" t="s">
        <v>168</v>
      </c>
      <c r="S69" s="71" t="s">
        <v>168</v>
      </c>
      <c r="T69" s="71" t="s">
        <v>168</v>
      </c>
      <c r="U69" s="71" t="s">
        <v>168</v>
      </c>
      <c r="V69" s="71" t="s">
        <v>168</v>
      </c>
      <c r="W69" s="71" t="s">
        <v>168</v>
      </c>
      <c r="X69" s="71" t="s">
        <v>168</v>
      </c>
      <c r="Y69" s="71" t="s">
        <v>168</v>
      </c>
      <c r="Z69" s="71" t="s">
        <v>168</v>
      </c>
      <c r="AA69" s="71" t="s">
        <v>168</v>
      </c>
      <c r="AB69" s="71" t="s">
        <v>168</v>
      </c>
      <c r="AC69" s="71" t="s">
        <v>168</v>
      </c>
      <c r="AD69" s="71" t="s">
        <v>168</v>
      </c>
      <c r="AE69" s="71" t="s">
        <v>168</v>
      </c>
      <c r="AF69" s="71" t="s">
        <v>168</v>
      </c>
      <c r="AG69" s="28" t="s">
        <v>168</v>
      </c>
      <c r="AH69" s="29" t="s">
        <v>168</v>
      </c>
      <c r="AI69" s="30">
        <f>SUM(AI70:AI81)</f>
        <v>314982.93999999994</v>
      </c>
      <c r="AJ69" s="31">
        <f t="shared" ref="AJ69:BL69" si="428">SUM(AJ70:AJ81)</f>
        <v>308866.76999999996</v>
      </c>
      <c r="AK69" s="31">
        <f t="shared" si="428"/>
        <v>105764.03</v>
      </c>
      <c r="AL69" s="31">
        <f t="shared" si="428"/>
        <v>105129.09</v>
      </c>
      <c r="AM69" s="31">
        <f t="shared" si="428"/>
        <v>209218.90999999997</v>
      </c>
      <c r="AN69" s="31">
        <f t="shared" si="428"/>
        <v>203737.68</v>
      </c>
      <c r="AO69" s="31">
        <f t="shared" si="428"/>
        <v>0</v>
      </c>
      <c r="AP69" s="31">
        <f t="shared" si="428"/>
        <v>0</v>
      </c>
      <c r="AQ69" s="31">
        <f t="shared" si="428"/>
        <v>0</v>
      </c>
      <c r="AR69" s="31">
        <f t="shared" si="428"/>
        <v>0</v>
      </c>
      <c r="AS69" s="31">
        <f>SUM(AS70:AS81)</f>
        <v>371052.92</v>
      </c>
      <c r="AT69" s="31">
        <f t="shared" si="428"/>
        <v>90150.5</v>
      </c>
      <c r="AU69" s="31">
        <f t="shared" si="428"/>
        <v>280902.42</v>
      </c>
      <c r="AV69" s="31">
        <f t="shared" si="428"/>
        <v>0</v>
      </c>
      <c r="AW69" s="31">
        <f t="shared" si="428"/>
        <v>0</v>
      </c>
      <c r="AX69" s="31">
        <f t="shared" si="428"/>
        <v>293193.78999999998</v>
      </c>
      <c r="AY69" s="31">
        <f t="shared" si="428"/>
        <v>90306.7</v>
      </c>
      <c r="AZ69" s="31">
        <f t="shared" si="428"/>
        <v>202887.09</v>
      </c>
      <c r="BA69" s="31">
        <f t="shared" si="428"/>
        <v>0</v>
      </c>
      <c r="BB69" s="31">
        <f t="shared" si="428"/>
        <v>0</v>
      </c>
      <c r="BC69" s="31">
        <f t="shared" si="428"/>
        <v>295537.56999999995</v>
      </c>
      <c r="BD69" s="31">
        <f t="shared" si="428"/>
        <v>90150.48</v>
      </c>
      <c r="BE69" s="31">
        <f t="shared" si="428"/>
        <v>205387.09</v>
      </c>
      <c r="BF69" s="31">
        <f t="shared" si="428"/>
        <v>0</v>
      </c>
      <c r="BG69" s="31">
        <f t="shared" si="428"/>
        <v>0</v>
      </c>
      <c r="BH69" s="31">
        <f t="shared" si="428"/>
        <v>205387.13999999998</v>
      </c>
      <c r="BI69" s="31">
        <f t="shared" si="428"/>
        <v>0</v>
      </c>
      <c r="BJ69" s="31">
        <f t="shared" si="428"/>
        <v>205387.13999999998</v>
      </c>
      <c r="BK69" s="31">
        <f t="shared" si="428"/>
        <v>0</v>
      </c>
      <c r="BL69" s="32">
        <f t="shared" si="428"/>
        <v>0</v>
      </c>
      <c r="BM69" s="30">
        <f>SUM(BM70:BM81)</f>
        <v>291212.41000000003</v>
      </c>
      <c r="BN69" s="31">
        <f t="shared" ref="BN69" si="429">SUM(BN70:BN81)</f>
        <v>285096.24</v>
      </c>
      <c r="BO69" s="96">
        <f t="shared" ref="BO69" si="430">SUM(BO70:BO81)</f>
        <v>88791</v>
      </c>
      <c r="BP69" s="96">
        <f t="shared" ref="BP69" si="431">SUM(BP70:BP81)</f>
        <v>88156.06</v>
      </c>
      <c r="BQ69" s="31">
        <f t="shared" ref="BQ69" si="432">SUM(BQ70:BQ81)</f>
        <v>202421.41</v>
      </c>
      <c r="BR69" s="31">
        <f t="shared" ref="BR69" si="433">SUM(BR70:BR81)</f>
        <v>196940.18000000002</v>
      </c>
      <c r="BS69" s="31">
        <f t="shared" ref="BS69" si="434">SUM(BS70:BS81)</f>
        <v>0</v>
      </c>
      <c r="BT69" s="31">
        <f t="shared" ref="BT69" si="435">SUM(BT70:BT81)</f>
        <v>0</v>
      </c>
      <c r="BU69" s="31">
        <f t="shared" ref="BU69" si="436">SUM(BU70:BU81)</f>
        <v>0</v>
      </c>
      <c r="BV69" s="32">
        <f t="shared" ref="BV69" si="437">SUM(BV70:BV81)</f>
        <v>0</v>
      </c>
      <c r="BW69" s="31">
        <f>SUM(BW70:BW81)</f>
        <v>308379.94999999995</v>
      </c>
      <c r="BX69" s="31">
        <f t="shared" ref="BX69" si="438">SUM(BX70:BX81)</f>
        <v>90408.51</v>
      </c>
      <c r="BY69" s="31">
        <f t="shared" ref="BY69" si="439">SUM(BY70:BY81)</f>
        <v>217971.43999999997</v>
      </c>
      <c r="BZ69" s="31">
        <f t="shared" ref="BZ69" si="440">SUM(BZ70:BZ81)</f>
        <v>0</v>
      </c>
      <c r="CA69" s="31">
        <f t="shared" ref="CA69" si="441">SUM(CA70:CA81)</f>
        <v>0</v>
      </c>
      <c r="CB69" s="31">
        <f t="shared" ref="CB69" si="442">SUM(CB70:CB81)</f>
        <v>283638.73</v>
      </c>
      <c r="CC69" s="31">
        <f t="shared" ref="CC69" si="443">SUM(CC70:CC81)</f>
        <v>90150.48</v>
      </c>
      <c r="CD69" s="31">
        <f t="shared" ref="CD69" si="444">SUM(CD70:CD81)</f>
        <v>193488.25</v>
      </c>
      <c r="CE69" s="31">
        <f t="shared" ref="CE69" si="445">SUM(CE70:CE81)</f>
        <v>0</v>
      </c>
      <c r="CF69" s="31">
        <f t="shared" ref="CF69" si="446">SUM(CF70:CF81)</f>
        <v>0</v>
      </c>
      <c r="CG69" s="31">
        <f t="shared" ref="CG69" si="447">SUM(CG70:CG81)</f>
        <v>283638.73</v>
      </c>
      <c r="CH69" s="31">
        <f t="shared" ref="CH69" si="448">SUM(CH70:CH81)</f>
        <v>90150.48</v>
      </c>
      <c r="CI69" s="31">
        <f t="shared" ref="CI69" si="449">SUM(CI70:CI81)</f>
        <v>193488.25</v>
      </c>
      <c r="CJ69" s="31">
        <f t="shared" ref="CJ69" si="450">SUM(CJ70:CJ81)</f>
        <v>0</v>
      </c>
      <c r="CK69" s="31">
        <f t="shared" ref="CK69" si="451">SUM(CK70:CK81)</f>
        <v>0</v>
      </c>
      <c r="CL69" s="31">
        <f t="shared" ref="CL69" si="452">SUM(CL70:CL81)</f>
        <v>283638.73</v>
      </c>
      <c r="CM69" s="31">
        <f t="shared" ref="CM69" si="453">SUM(CM70:CM81)</f>
        <v>90150.48</v>
      </c>
      <c r="CN69" s="31">
        <f t="shared" ref="CN69" si="454">SUM(CN70:CN81)</f>
        <v>193488.25</v>
      </c>
      <c r="CO69" s="31">
        <f t="shared" ref="CO69" si="455">SUM(CO70:CO81)</f>
        <v>0</v>
      </c>
      <c r="CP69" s="32">
        <f t="shared" ref="CP69" si="456">SUM(CP70:CP81)</f>
        <v>0</v>
      </c>
      <c r="CQ69" s="33">
        <v>314982.93999999994</v>
      </c>
      <c r="CR69" s="34">
        <v>105764.03</v>
      </c>
      <c r="CS69" s="34">
        <v>209218.90999999997</v>
      </c>
      <c r="CT69" s="34">
        <v>0</v>
      </c>
      <c r="CU69" s="35">
        <v>0</v>
      </c>
      <c r="CV69" s="30">
        <f>SUM(CV70:CV81)</f>
        <v>362104.68</v>
      </c>
      <c r="CW69" s="31">
        <f t="shared" ref="CW69" si="457">SUM(CW70:CW81)</f>
        <v>90408.51</v>
      </c>
      <c r="CX69" s="31">
        <f t="shared" ref="CX69" si="458">SUM(CX70:CX81)</f>
        <v>271696.17</v>
      </c>
      <c r="CY69" s="31">
        <f t="shared" ref="CY69" si="459">SUM(CY70:CY81)</f>
        <v>0</v>
      </c>
      <c r="CZ69" s="32">
        <f t="shared" ref="CZ69" si="460">SUM(CZ70:CZ81)</f>
        <v>0</v>
      </c>
      <c r="DA69" s="30">
        <f t="shared" ref="DA69" si="461">SUM(DA70:DA81)</f>
        <v>284023.96000000002</v>
      </c>
      <c r="DB69" s="31">
        <f t="shared" ref="DB69" si="462">SUM(DB70:DB81)</f>
        <v>90150.48</v>
      </c>
      <c r="DC69" s="31">
        <f t="shared" ref="DC69" si="463">SUM(DC70:DC81)</f>
        <v>193873.47999999998</v>
      </c>
      <c r="DD69" s="31">
        <f t="shared" ref="DD69" si="464">SUM(DD70:DD81)</f>
        <v>0</v>
      </c>
      <c r="DE69" s="32">
        <f t="shared" ref="DE69" si="465">SUM(DE70:DE81)</f>
        <v>0</v>
      </c>
      <c r="DF69" s="33">
        <v>291212.41000000003</v>
      </c>
      <c r="DG69" s="34">
        <v>88791</v>
      </c>
      <c r="DH69" s="34">
        <v>202421.41</v>
      </c>
      <c r="DI69" s="31">
        <f t="shared" ref="DI69" si="466">SUM(DI70:DI81)</f>
        <v>0</v>
      </c>
      <c r="DJ69" s="34">
        <v>0</v>
      </c>
      <c r="DK69" s="31">
        <f>SUM(DK70:DK81)</f>
        <v>308379.94999999995</v>
      </c>
      <c r="DL69" s="31">
        <f t="shared" ref="DL69" si="467">SUM(DL70:DL81)</f>
        <v>90408.51</v>
      </c>
      <c r="DM69" s="31">
        <f t="shared" ref="DM69" si="468">SUM(DM70:DM81)</f>
        <v>217971.43999999997</v>
      </c>
      <c r="DN69" s="31">
        <f t="shared" ref="DN69" si="469">SUM(DN70:DN81)</f>
        <v>0</v>
      </c>
      <c r="DO69" s="31">
        <f t="shared" ref="DO69" si="470">SUM(DO70:DO81)</f>
        <v>0</v>
      </c>
      <c r="DP69" s="31">
        <f t="shared" ref="DP69" si="471">SUM(DP70:DP81)</f>
        <v>283638.73</v>
      </c>
      <c r="DQ69" s="31">
        <f t="shared" ref="DQ69" si="472">SUM(DQ70:DQ81)</f>
        <v>90150.48</v>
      </c>
      <c r="DR69" s="31">
        <f t="shared" ref="DR69" si="473">SUM(DR70:DR81)</f>
        <v>193488.25</v>
      </c>
      <c r="DS69" s="31">
        <f t="shared" ref="DS69" si="474">SUM(DS70:DS81)</f>
        <v>0</v>
      </c>
      <c r="DT69" s="31">
        <f t="shared" ref="DT69" si="475">SUM(DT70:DT81)</f>
        <v>0</v>
      </c>
      <c r="DU69" s="36" t="s">
        <v>0</v>
      </c>
    </row>
    <row r="70" spans="1:125" customFormat="1" ht="409.5" x14ac:dyDescent="0.2">
      <c r="A70" s="38" t="s">
        <v>325</v>
      </c>
      <c r="B70" s="38" t="s">
        <v>249</v>
      </c>
      <c r="C70" s="39" t="s">
        <v>326</v>
      </c>
      <c r="D70" s="40" t="s">
        <v>427</v>
      </c>
      <c r="E70" s="40" t="s">
        <v>0</v>
      </c>
      <c r="F70" s="40" t="s">
        <v>0</v>
      </c>
      <c r="G70" s="40" t="s">
        <v>0</v>
      </c>
      <c r="H70" s="40" t="s">
        <v>0</v>
      </c>
      <c r="I70" s="40" t="s">
        <v>0</v>
      </c>
      <c r="J70" s="40" t="s">
        <v>0</v>
      </c>
      <c r="K70" s="40" t="s">
        <v>0</v>
      </c>
      <c r="L70" s="40" t="s">
        <v>0</v>
      </c>
      <c r="M70" s="40" t="s">
        <v>0</v>
      </c>
      <c r="N70" s="40" t="s">
        <v>0</v>
      </c>
      <c r="O70" s="40" t="s">
        <v>0</v>
      </c>
      <c r="P70" s="40" t="s">
        <v>0</v>
      </c>
      <c r="Q70" s="40" t="s">
        <v>0</v>
      </c>
      <c r="R70" s="40" t="s">
        <v>0</v>
      </c>
      <c r="S70" s="40" t="s">
        <v>0</v>
      </c>
      <c r="T70" s="40" t="s">
        <v>0</v>
      </c>
      <c r="U70" s="40" t="s">
        <v>0</v>
      </c>
      <c r="V70" s="40" t="s">
        <v>0</v>
      </c>
      <c r="W70" s="40" t="s">
        <v>0</v>
      </c>
      <c r="X70" s="40" t="s">
        <v>460</v>
      </c>
      <c r="Y70" s="40" t="s">
        <v>0</v>
      </c>
      <c r="Z70" s="40" t="s">
        <v>0</v>
      </c>
      <c r="AA70" s="40" t="s">
        <v>461</v>
      </c>
      <c r="AB70" s="40" t="s">
        <v>0</v>
      </c>
      <c r="AC70" s="40" t="s">
        <v>0</v>
      </c>
      <c r="AD70" s="40" t="s">
        <v>508</v>
      </c>
      <c r="AE70" s="41"/>
      <c r="AF70" s="41"/>
      <c r="AG70" s="42" t="s">
        <v>46</v>
      </c>
      <c r="AH70" s="43" t="s">
        <v>327</v>
      </c>
      <c r="AI70" s="44">
        <v>6024.33</v>
      </c>
      <c r="AJ70" s="45">
        <f>5879.9+0.01</f>
        <v>5879.91</v>
      </c>
      <c r="AK70" s="45">
        <v>0</v>
      </c>
      <c r="AL70" s="52">
        <v>0</v>
      </c>
      <c r="AM70" s="45">
        <v>6024.33</v>
      </c>
      <c r="AN70" s="45">
        <f>5879.9+0.01</f>
        <v>5879.91</v>
      </c>
      <c r="AO70" s="45">
        <v>0</v>
      </c>
      <c r="AP70" s="45">
        <v>0</v>
      </c>
      <c r="AQ70" s="45">
        <v>0</v>
      </c>
      <c r="AR70" s="45">
        <v>0</v>
      </c>
      <c r="AS70" s="46">
        <f>SUM(AT70:AW70)</f>
        <v>7249.7600000000011</v>
      </c>
      <c r="AT70" s="45">
        <v>0</v>
      </c>
      <c r="AU70" s="45">
        <f>7471.6+124.26-599.7+253.6</f>
        <v>7249.7600000000011</v>
      </c>
      <c r="AV70" s="45">
        <v>0</v>
      </c>
      <c r="AW70" s="45">
        <v>0</v>
      </c>
      <c r="AX70" s="46">
        <f>SUM(AY70:BB70)</f>
        <v>615.42999999999995</v>
      </c>
      <c r="AY70" s="45">
        <v>0</v>
      </c>
      <c r="AZ70" s="45">
        <f>614.3+1.13</f>
        <v>615.42999999999995</v>
      </c>
      <c r="BA70" s="45">
        <v>0</v>
      </c>
      <c r="BB70" s="45">
        <v>0</v>
      </c>
      <c r="BC70" s="46">
        <f>BE70</f>
        <v>615.42999999999995</v>
      </c>
      <c r="BD70" s="45">
        <v>0</v>
      </c>
      <c r="BE70" s="45">
        <f>614.3+1.13</f>
        <v>615.42999999999995</v>
      </c>
      <c r="BF70" s="45">
        <v>0</v>
      </c>
      <c r="BG70" s="45">
        <v>0</v>
      </c>
      <c r="BH70" s="46">
        <f>BJ70</f>
        <v>615.42999999999995</v>
      </c>
      <c r="BI70" s="45">
        <v>0</v>
      </c>
      <c r="BJ70" s="45">
        <f>614.3+1.13</f>
        <v>615.42999999999995</v>
      </c>
      <c r="BK70" s="45">
        <v>0</v>
      </c>
      <c r="BL70" s="49">
        <v>0</v>
      </c>
      <c r="BM70" s="44">
        <v>6024.33</v>
      </c>
      <c r="BN70" s="97">
        <f>5879.9+0.01</f>
        <v>5879.91</v>
      </c>
      <c r="BO70" s="85">
        <v>0</v>
      </c>
      <c r="BP70" s="98">
        <v>0</v>
      </c>
      <c r="BQ70" s="99">
        <v>6024.33</v>
      </c>
      <c r="BR70" s="45">
        <f>5879.9+0.01</f>
        <v>5879.91</v>
      </c>
      <c r="BS70" s="45">
        <v>0</v>
      </c>
      <c r="BT70" s="45">
        <v>0</v>
      </c>
      <c r="BU70" s="45">
        <v>0</v>
      </c>
      <c r="BV70" s="49">
        <v>0</v>
      </c>
      <c r="BW70" s="46">
        <v>5332.29</v>
      </c>
      <c r="BX70" s="45">
        <v>0</v>
      </c>
      <c r="BY70" s="45">
        <f>BW70</f>
        <v>5332.29</v>
      </c>
      <c r="BZ70" s="45">
        <v>0</v>
      </c>
      <c r="CA70" s="45">
        <v>0</v>
      </c>
      <c r="CB70" s="46">
        <v>4393.41</v>
      </c>
      <c r="CC70" s="45">
        <v>0</v>
      </c>
      <c r="CD70" s="45">
        <f>CB70</f>
        <v>4393.41</v>
      </c>
      <c r="CE70" s="45">
        <v>0</v>
      </c>
      <c r="CF70" s="45">
        <v>0</v>
      </c>
      <c r="CG70" s="46">
        <v>4393.41</v>
      </c>
      <c r="CH70" s="45">
        <v>0</v>
      </c>
      <c r="CI70" s="45">
        <f>CG70</f>
        <v>4393.41</v>
      </c>
      <c r="CJ70" s="45">
        <v>0</v>
      </c>
      <c r="CK70" s="45">
        <v>0</v>
      </c>
      <c r="CL70" s="46">
        <v>4393.41</v>
      </c>
      <c r="CM70" s="45">
        <v>0</v>
      </c>
      <c r="CN70" s="45">
        <f>CL70</f>
        <v>4393.41</v>
      </c>
      <c r="CO70" s="45">
        <v>0</v>
      </c>
      <c r="CP70" s="49">
        <v>0</v>
      </c>
      <c r="CQ70" s="48">
        <v>6024.33</v>
      </c>
      <c r="CR70" s="46">
        <v>0</v>
      </c>
      <c r="CS70" s="46">
        <v>6024.33</v>
      </c>
      <c r="CT70" s="46">
        <v>0</v>
      </c>
      <c r="CU70" s="47">
        <v>0</v>
      </c>
      <c r="CV70" s="48">
        <v>5332.29</v>
      </c>
      <c r="CW70" s="45">
        <v>0</v>
      </c>
      <c r="CX70" s="45">
        <f>CV70</f>
        <v>5332.29</v>
      </c>
      <c r="CY70" s="45">
        <v>0</v>
      </c>
      <c r="CZ70" s="49">
        <v>0</v>
      </c>
      <c r="DA70" s="48">
        <v>4393.41</v>
      </c>
      <c r="DB70" s="45">
        <v>0</v>
      </c>
      <c r="DC70" s="45">
        <f>DA70</f>
        <v>4393.41</v>
      </c>
      <c r="DD70" s="45">
        <v>0</v>
      </c>
      <c r="DE70" s="49">
        <v>0</v>
      </c>
      <c r="DF70" s="48">
        <v>6024.33</v>
      </c>
      <c r="DG70" s="46">
        <v>0</v>
      </c>
      <c r="DH70" s="46">
        <v>6024.33</v>
      </c>
      <c r="DI70" s="45">
        <v>0</v>
      </c>
      <c r="DJ70" s="46">
        <v>0</v>
      </c>
      <c r="DK70" s="46">
        <v>5332.29</v>
      </c>
      <c r="DL70" s="45">
        <v>0</v>
      </c>
      <c r="DM70" s="45">
        <f>DK70</f>
        <v>5332.29</v>
      </c>
      <c r="DN70" s="45">
        <v>0</v>
      </c>
      <c r="DO70" s="45">
        <v>0</v>
      </c>
      <c r="DP70" s="46">
        <v>4393.41</v>
      </c>
      <c r="DQ70" s="45">
        <v>0</v>
      </c>
      <c r="DR70" s="45">
        <f>DP70</f>
        <v>4393.41</v>
      </c>
      <c r="DS70" s="45">
        <v>0</v>
      </c>
      <c r="DT70" s="45">
        <v>0</v>
      </c>
      <c r="DU70" s="50" t="s">
        <v>190</v>
      </c>
    </row>
    <row r="71" spans="1:125" customFormat="1" ht="409.5" x14ac:dyDescent="0.2">
      <c r="A71" s="38" t="s">
        <v>328</v>
      </c>
      <c r="B71" s="38" t="s">
        <v>253</v>
      </c>
      <c r="C71" s="39" t="s">
        <v>329</v>
      </c>
      <c r="D71" s="40" t="s">
        <v>427</v>
      </c>
      <c r="E71" s="40" t="s">
        <v>0</v>
      </c>
      <c r="F71" s="40" t="s">
        <v>0</v>
      </c>
      <c r="G71" s="40" t="s">
        <v>0</v>
      </c>
      <c r="H71" s="40" t="s">
        <v>0</v>
      </c>
      <c r="I71" s="40" t="s">
        <v>0</v>
      </c>
      <c r="J71" s="40" t="s">
        <v>0</v>
      </c>
      <c r="K71" s="40" t="s">
        <v>0</v>
      </c>
      <c r="L71" s="40" t="s">
        <v>0</v>
      </c>
      <c r="M71" s="40" t="s">
        <v>0</v>
      </c>
      <c r="N71" s="40" t="s">
        <v>0</v>
      </c>
      <c r="O71" s="40" t="s">
        <v>0</v>
      </c>
      <c r="P71" s="40" t="s">
        <v>0</v>
      </c>
      <c r="Q71" s="40" t="s">
        <v>0</v>
      </c>
      <c r="R71" s="40" t="s">
        <v>0</v>
      </c>
      <c r="S71" s="40" t="s">
        <v>0</v>
      </c>
      <c r="T71" s="40" t="s">
        <v>0</v>
      </c>
      <c r="U71" s="40" t="s">
        <v>0</v>
      </c>
      <c r="V71" s="40" t="s">
        <v>0</v>
      </c>
      <c r="W71" s="40" t="s">
        <v>0</v>
      </c>
      <c r="X71" s="40" t="s">
        <v>460</v>
      </c>
      <c r="Y71" s="40" t="s">
        <v>0</v>
      </c>
      <c r="Z71" s="40" t="s">
        <v>0</v>
      </c>
      <c r="AA71" s="40" t="s">
        <v>461</v>
      </c>
      <c r="AB71" s="40" t="s">
        <v>0</v>
      </c>
      <c r="AC71" s="40" t="s">
        <v>0</v>
      </c>
      <c r="AD71" s="40" t="s">
        <v>508</v>
      </c>
      <c r="AE71" s="41"/>
      <c r="AF71" s="41"/>
      <c r="AG71" s="42" t="s">
        <v>46</v>
      </c>
      <c r="AH71" s="43" t="s">
        <v>327</v>
      </c>
      <c r="AI71" s="44">
        <v>12290.32</v>
      </c>
      <c r="AJ71" s="45">
        <v>12290.32</v>
      </c>
      <c r="AK71" s="45">
        <v>0</v>
      </c>
      <c r="AL71" s="52">
        <v>0</v>
      </c>
      <c r="AM71" s="45">
        <v>12290.32</v>
      </c>
      <c r="AN71" s="45">
        <v>12290.32</v>
      </c>
      <c r="AO71" s="45">
        <v>0</v>
      </c>
      <c r="AP71" s="45">
        <v>0</v>
      </c>
      <c r="AQ71" s="45">
        <v>0</v>
      </c>
      <c r="AR71" s="45">
        <v>0</v>
      </c>
      <c r="AS71" s="46">
        <f>SUM(AT71:AW71)</f>
        <v>13012</v>
      </c>
      <c r="AT71" s="45">
        <v>0</v>
      </c>
      <c r="AU71" s="45">
        <v>13012</v>
      </c>
      <c r="AV71" s="45">
        <v>0</v>
      </c>
      <c r="AW71" s="45">
        <v>0</v>
      </c>
      <c r="AX71" s="46">
        <f>SUM(AY71:BB71)</f>
        <v>15472.9</v>
      </c>
      <c r="AY71" s="45">
        <v>0</v>
      </c>
      <c r="AZ71" s="45">
        <v>15472.9</v>
      </c>
      <c r="BA71" s="45">
        <v>0</v>
      </c>
      <c r="BB71" s="45">
        <v>0</v>
      </c>
      <c r="BC71" s="46">
        <f>BE71</f>
        <v>15472.9</v>
      </c>
      <c r="BD71" s="45">
        <v>0</v>
      </c>
      <c r="BE71" s="45">
        <v>15472.9</v>
      </c>
      <c r="BF71" s="45">
        <v>0</v>
      </c>
      <c r="BG71" s="45">
        <v>0</v>
      </c>
      <c r="BH71" s="46">
        <f>BJ71</f>
        <v>15472.9</v>
      </c>
      <c r="BI71" s="45">
        <v>0</v>
      </c>
      <c r="BJ71" s="45">
        <v>15472.9</v>
      </c>
      <c r="BK71" s="45">
        <v>0</v>
      </c>
      <c r="BL71" s="49">
        <v>0</v>
      </c>
      <c r="BM71" s="44">
        <v>12290.32</v>
      </c>
      <c r="BN71" s="100">
        <v>12290.32</v>
      </c>
      <c r="BO71" s="85">
        <v>0</v>
      </c>
      <c r="BP71" s="98">
        <v>0</v>
      </c>
      <c r="BQ71" s="99">
        <v>12290.32</v>
      </c>
      <c r="BR71" s="45">
        <v>12290.32</v>
      </c>
      <c r="BS71" s="45">
        <v>0</v>
      </c>
      <c r="BT71" s="45">
        <v>0</v>
      </c>
      <c r="BU71" s="45">
        <v>0</v>
      </c>
      <c r="BV71" s="49">
        <v>0</v>
      </c>
      <c r="BW71" s="46">
        <v>12226.82</v>
      </c>
      <c r="BX71" s="45">
        <v>0</v>
      </c>
      <c r="BY71" s="45">
        <f>BW71</f>
        <v>12226.82</v>
      </c>
      <c r="BZ71" s="45">
        <v>0</v>
      </c>
      <c r="CA71" s="45">
        <v>0</v>
      </c>
      <c r="CB71" s="46">
        <v>11694.88</v>
      </c>
      <c r="CC71" s="45">
        <v>0</v>
      </c>
      <c r="CD71" s="45">
        <f>CB71</f>
        <v>11694.88</v>
      </c>
      <c r="CE71" s="45">
        <v>0</v>
      </c>
      <c r="CF71" s="45">
        <v>0</v>
      </c>
      <c r="CG71" s="46">
        <v>11694.88</v>
      </c>
      <c r="CH71" s="45">
        <v>0</v>
      </c>
      <c r="CI71" s="45">
        <f>CG71</f>
        <v>11694.88</v>
      </c>
      <c r="CJ71" s="45">
        <v>0</v>
      </c>
      <c r="CK71" s="45">
        <v>0</v>
      </c>
      <c r="CL71" s="46">
        <v>11694.88</v>
      </c>
      <c r="CM71" s="45">
        <v>0</v>
      </c>
      <c r="CN71" s="45">
        <f>CL71</f>
        <v>11694.88</v>
      </c>
      <c r="CO71" s="45">
        <v>0</v>
      </c>
      <c r="CP71" s="49">
        <v>0</v>
      </c>
      <c r="CQ71" s="48">
        <v>12290.32</v>
      </c>
      <c r="CR71" s="46">
        <v>0</v>
      </c>
      <c r="CS71" s="46">
        <v>12290.32</v>
      </c>
      <c r="CT71" s="46">
        <v>0</v>
      </c>
      <c r="CU71" s="47">
        <v>0</v>
      </c>
      <c r="CV71" s="48">
        <v>12226.82</v>
      </c>
      <c r="CW71" s="45">
        <v>0</v>
      </c>
      <c r="CX71" s="45">
        <f>CV71</f>
        <v>12226.82</v>
      </c>
      <c r="CY71" s="45">
        <v>0</v>
      </c>
      <c r="CZ71" s="49">
        <v>0</v>
      </c>
      <c r="DA71" s="48">
        <v>11694.88</v>
      </c>
      <c r="DB71" s="45">
        <v>0</v>
      </c>
      <c r="DC71" s="45">
        <f>DA71</f>
        <v>11694.88</v>
      </c>
      <c r="DD71" s="45">
        <v>0</v>
      </c>
      <c r="DE71" s="49">
        <v>0</v>
      </c>
      <c r="DF71" s="48">
        <v>12290.32</v>
      </c>
      <c r="DG71" s="46">
        <v>0</v>
      </c>
      <c r="DH71" s="46">
        <v>12290.32</v>
      </c>
      <c r="DI71" s="45">
        <v>0</v>
      </c>
      <c r="DJ71" s="46">
        <v>0</v>
      </c>
      <c r="DK71" s="46">
        <v>12226.82</v>
      </c>
      <c r="DL71" s="45">
        <v>0</v>
      </c>
      <c r="DM71" s="45">
        <f>DK71</f>
        <v>12226.82</v>
      </c>
      <c r="DN71" s="45">
        <v>0</v>
      </c>
      <c r="DO71" s="45">
        <v>0</v>
      </c>
      <c r="DP71" s="46">
        <v>11694.88</v>
      </c>
      <c r="DQ71" s="45">
        <v>0</v>
      </c>
      <c r="DR71" s="45">
        <f>DP71</f>
        <v>11694.88</v>
      </c>
      <c r="DS71" s="45">
        <v>0</v>
      </c>
      <c r="DT71" s="45">
        <v>0</v>
      </c>
      <c r="DU71" s="50" t="s">
        <v>190</v>
      </c>
    </row>
    <row r="72" spans="1:125" customFormat="1" ht="236.25" x14ac:dyDescent="0.2">
      <c r="A72" s="38" t="s">
        <v>330</v>
      </c>
      <c r="B72" s="38" t="s">
        <v>331</v>
      </c>
      <c r="C72" s="39" t="s">
        <v>332</v>
      </c>
      <c r="D72" s="40" t="s">
        <v>462</v>
      </c>
      <c r="E72" s="40" t="s">
        <v>0</v>
      </c>
      <c r="F72" s="40" t="s">
        <v>0</v>
      </c>
      <c r="G72" s="40" t="s">
        <v>0</v>
      </c>
      <c r="H72" s="40" t="s">
        <v>0</v>
      </c>
      <c r="I72" s="40" t="s">
        <v>0</v>
      </c>
      <c r="J72" s="40" t="s">
        <v>0</v>
      </c>
      <c r="K72" s="40" t="s">
        <v>0</v>
      </c>
      <c r="L72" s="40" t="s">
        <v>0</v>
      </c>
      <c r="M72" s="40" t="s">
        <v>0</v>
      </c>
      <c r="N72" s="40" t="s">
        <v>0</v>
      </c>
      <c r="O72" s="40" t="s">
        <v>0</v>
      </c>
      <c r="P72" s="40" t="s">
        <v>0</v>
      </c>
      <c r="Q72" s="40" t="s">
        <v>0</v>
      </c>
      <c r="R72" s="40" t="s">
        <v>0</v>
      </c>
      <c r="S72" s="40" t="s">
        <v>0</v>
      </c>
      <c r="T72" s="40" t="s">
        <v>0</v>
      </c>
      <c r="U72" s="40" t="s">
        <v>0</v>
      </c>
      <c r="V72" s="40" t="s">
        <v>0</v>
      </c>
      <c r="W72" s="40" t="s">
        <v>0</v>
      </c>
      <c r="X72" s="40" t="s">
        <v>519</v>
      </c>
      <c r="Y72" s="40" t="s">
        <v>0</v>
      </c>
      <c r="Z72" s="40" t="s">
        <v>0</v>
      </c>
      <c r="AA72" s="40" t="s">
        <v>463</v>
      </c>
      <c r="AB72" s="40" t="s">
        <v>0</v>
      </c>
      <c r="AC72" s="40" t="s">
        <v>0</v>
      </c>
      <c r="AD72" s="40" t="s">
        <v>509</v>
      </c>
      <c r="AE72" s="41"/>
      <c r="AF72" s="41"/>
      <c r="AG72" s="42" t="s">
        <v>47</v>
      </c>
      <c r="AH72" s="43" t="s">
        <v>224</v>
      </c>
      <c r="AI72" s="44">
        <f>58730.22-14234.55+0.01</f>
        <v>44495.68</v>
      </c>
      <c r="AJ72" s="45">
        <f>58693.97-14234.55+0.01</f>
        <v>44459.43</v>
      </c>
      <c r="AK72" s="45">
        <v>0</v>
      </c>
      <c r="AL72" s="52">
        <v>0</v>
      </c>
      <c r="AM72" s="45">
        <f>44495.68</f>
        <v>44495.68</v>
      </c>
      <c r="AN72" s="45">
        <v>44459.43</v>
      </c>
      <c r="AO72" s="45">
        <v>0</v>
      </c>
      <c r="AP72" s="45">
        <v>0</v>
      </c>
      <c r="AQ72" s="45">
        <v>0</v>
      </c>
      <c r="AR72" s="45">
        <v>0</v>
      </c>
      <c r="AS72" s="46">
        <f>AU72</f>
        <v>61327.3</v>
      </c>
      <c r="AT72" s="45">
        <v>0</v>
      </c>
      <c r="AU72" s="45">
        <v>61327.3</v>
      </c>
      <c r="AV72" s="45">
        <v>0</v>
      </c>
      <c r="AW72" s="45">
        <v>0</v>
      </c>
      <c r="AX72" s="45">
        <f>SUM(AY72:BB72)</f>
        <v>40000</v>
      </c>
      <c r="AY72" s="45">
        <v>0</v>
      </c>
      <c r="AZ72" s="45">
        <v>40000</v>
      </c>
      <c r="BA72" s="45">
        <v>0</v>
      </c>
      <c r="BB72" s="45">
        <v>0</v>
      </c>
      <c r="BC72" s="45">
        <v>42500</v>
      </c>
      <c r="BD72" s="45">
        <v>0</v>
      </c>
      <c r="BE72" s="45">
        <v>42500</v>
      </c>
      <c r="BF72" s="45">
        <v>0</v>
      </c>
      <c r="BG72" s="45">
        <v>0</v>
      </c>
      <c r="BH72" s="45">
        <v>42500</v>
      </c>
      <c r="BI72" s="45">
        <v>0</v>
      </c>
      <c r="BJ72" s="45">
        <v>42500</v>
      </c>
      <c r="BK72" s="45">
        <v>0</v>
      </c>
      <c r="BL72" s="49">
        <v>0</v>
      </c>
      <c r="BM72" s="84">
        <f t="shared" ref="BM72:BN74" si="476">BQ72</f>
        <v>44495.68</v>
      </c>
      <c r="BN72" s="85">
        <f t="shared" si="476"/>
        <v>44459.43</v>
      </c>
      <c r="BO72" s="101">
        <v>0</v>
      </c>
      <c r="BP72" s="102">
        <v>0</v>
      </c>
      <c r="BQ72" s="45">
        <f>44495.68</f>
        <v>44495.68</v>
      </c>
      <c r="BR72" s="45">
        <v>44459.43</v>
      </c>
      <c r="BS72" s="45">
        <v>0</v>
      </c>
      <c r="BT72" s="45">
        <v>0</v>
      </c>
      <c r="BU72" s="45">
        <v>0</v>
      </c>
      <c r="BV72" s="49">
        <v>0</v>
      </c>
      <c r="BW72" s="46">
        <v>59478.67</v>
      </c>
      <c r="BX72" s="45">
        <v>0</v>
      </c>
      <c r="BY72" s="45">
        <f>BW72</f>
        <v>59478.67</v>
      </c>
      <c r="BZ72" s="45">
        <v>0</v>
      </c>
      <c r="CA72" s="45">
        <v>0</v>
      </c>
      <c r="CB72" s="45">
        <v>42500</v>
      </c>
      <c r="CC72" s="45">
        <v>0</v>
      </c>
      <c r="CD72" s="45">
        <v>42500</v>
      </c>
      <c r="CE72" s="45">
        <v>0</v>
      </c>
      <c r="CF72" s="45">
        <v>0</v>
      </c>
      <c r="CG72" s="45">
        <v>42500</v>
      </c>
      <c r="CH72" s="45">
        <v>0</v>
      </c>
      <c r="CI72" s="45">
        <v>42500</v>
      </c>
      <c r="CJ72" s="45">
        <v>0</v>
      </c>
      <c r="CK72" s="45">
        <v>0</v>
      </c>
      <c r="CL72" s="45">
        <v>42500</v>
      </c>
      <c r="CM72" s="45">
        <v>0</v>
      </c>
      <c r="CN72" s="45">
        <v>42500</v>
      </c>
      <c r="CO72" s="45">
        <v>0</v>
      </c>
      <c r="CP72" s="49">
        <v>0</v>
      </c>
      <c r="CQ72" s="48">
        <v>44495.68</v>
      </c>
      <c r="CR72" s="46">
        <v>0</v>
      </c>
      <c r="CS72" s="46">
        <v>44495.68</v>
      </c>
      <c r="CT72" s="46">
        <v>0</v>
      </c>
      <c r="CU72" s="47">
        <v>0</v>
      </c>
      <c r="CV72" s="48">
        <v>59478.67</v>
      </c>
      <c r="CW72" s="45">
        <v>0</v>
      </c>
      <c r="CX72" s="45">
        <f>CV72</f>
        <v>59478.67</v>
      </c>
      <c r="CY72" s="45">
        <v>0</v>
      </c>
      <c r="CZ72" s="49">
        <v>0</v>
      </c>
      <c r="DA72" s="44">
        <v>42500</v>
      </c>
      <c r="DB72" s="45">
        <v>0</v>
      </c>
      <c r="DC72" s="45">
        <v>42500</v>
      </c>
      <c r="DD72" s="45">
        <v>0</v>
      </c>
      <c r="DE72" s="49">
        <v>0</v>
      </c>
      <c r="DF72" s="48">
        <v>44495.68</v>
      </c>
      <c r="DG72" s="46">
        <v>0</v>
      </c>
      <c r="DH72" s="46">
        <v>44495.68</v>
      </c>
      <c r="DI72" s="45">
        <v>0</v>
      </c>
      <c r="DJ72" s="46">
        <v>0</v>
      </c>
      <c r="DK72" s="46">
        <v>59478.67</v>
      </c>
      <c r="DL72" s="45">
        <v>0</v>
      </c>
      <c r="DM72" s="45">
        <f>DK72</f>
        <v>59478.67</v>
      </c>
      <c r="DN72" s="45">
        <v>0</v>
      </c>
      <c r="DO72" s="45">
        <v>0</v>
      </c>
      <c r="DP72" s="45">
        <v>42500</v>
      </c>
      <c r="DQ72" s="45">
        <v>0</v>
      </c>
      <c r="DR72" s="45">
        <v>42500</v>
      </c>
      <c r="DS72" s="45">
        <v>0</v>
      </c>
      <c r="DT72" s="45">
        <v>0</v>
      </c>
      <c r="DU72" s="50" t="s">
        <v>219</v>
      </c>
    </row>
    <row r="73" spans="1:125" customFormat="1" ht="202.5" x14ac:dyDescent="0.2">
      <c r="A73" s="38" t="s">
        <v>333</v>
      </c>
      <c r="B73" s="38" t="s">
        <v>334</v>
      </c>
      <c r="C73" s="39" t="s">
        <v>335</v>
      </c>
      <c r="D73" s="40" t="s">
        <v>462</v>
      </c>
      <c r="E73" s="40" t="s">
        <v>0</v>
      </c>
      <c r="F73" s="40" t="s">
        <v>0</v>
      </c>
      <c r="G73" s="40" t="s">
        <v>0</v>
      </c>
      <c r="H73" s="40" t="s">
        <v>0</v>
      </c>
      <c r="I73" s="40" t="s">
        <v>0</v>
      </c>
      <c r="J73" s="40" t="s">
        <v>0</v>
      </c>
      <c r="K73" s="40" t="s">
        <v>0</v>
      </c>
      <c r="L73" s="40" t="s">
        <v>0</v>
      </c>
      <c r="M73" s="40" t="s">
        <v>0</v>
      </c>
      <c r="N73" s="40" t="s">
        <v>0</v>
      </c>
      <c r="O73" s="40" t="s">
        <v>0</v>
      </c>
      <c r="P73" s="40" t="s">
        <v>0</v>
      </c>
      <c r="Q73" s="40" t="s">
        <v>0</v>
      </c>
      <c r="R73" s="40" t="s">
        <v>0</v>
      </c>
      <c r="S73" s="40" t="s">
        <v>0</v>
      </c>
      <c r="T73" s="40" t="s">
        <v>0</v>
      </c>
      <c r="U73" s="40" t="s">
        <v>0</v>
      </c>
      <c r="V73" s="40" t="s">
        <v>0</v>
      </c>
      <c r="W73" s="40" t="s">
        <v>0</v>
      </c>
      <c r="X73" s="40" t="s">
        <v>519</v>
      </c>
      <c r="Y73" s="40" t="s">
        <v>0</v>
      </c>
      <c r="Z73" s="40" t="s">
        <v>0</v>
      </c>
      <c r="AA73" s="40" t="s">
        <v>463</v>
      </c>
      <c r="AB73" s="40" t="s">
        <v>0</v>
      </c>
      <c r="AC73" s="40" t="s">
        <v>0</v>
      </c>
      <c r="AD73" s="40" t="s">
        <v>510</v>
      </c>
      <c r="AE73" s="41"/>
      <c r="AF73" s="41"/>
      <c r="AG73" s="42" t="s">
        <v>47</v>
      </c>
      <c r="AH73" s="43" t="s">
        <v>224</v>
      </c>
      <c r="AI73" s="44">
        <v>5966.07</v>
      </c>
      <c r="AJ73" s="45">
        <v>5966.07</v>
      </c>
      <c r="AK73" s="45">
        <v>0</v>
      </c>
      <c r="AL73" s="52">
        <v>0</v>
      </c>
      <c r="AM73" s="45">
        <v>5966.07</v>
      </c>
      <c r="AN73" s="45">
        <v>5966.07</v>
      </c>
      <c r="AO73" s="45">
        <v>0</v>
      </c>
      <c r="AP73" s="45">
        <v>0</v>
      </c>
      <c r="AQ73" s="45">
        <v>0</v>
      </c>
      <c r="AR73" s="45">
        <v>0</v>
      </c>
      <c r="AS73" s="46">
        <f>AU73</f>
        <v>6588.3</v>
      </c>
      <c r="AT73" s="45">
        <v>0</v>
      </c>
      <c r="AU73" s="45">
        <v>6588.3</v>
      </c>
      <c r="AV73" s="45">
        <v>0</v>
      </c>
      <c r="AW73" s="45">
        <v>0</v>
      </c>
      <c r="AX73" s="45">
        <f>SUM(AY73:BB73)</f>
        <v>6671.3</v>
      </c>
      <c r="AY73" s="45">
        <v>0</v>
      </c>
      <c r="AZ73" s="45">
        <v>6671.3</v>
      </c>
      <c r="BA73" s="45">
        <v>0</v>
      </c>
      <c r="BB73" s="45">
        <v>0</v>
      </c>
      <c r="BC73" s="45">
        <f>BE73</f>
        <v>6671.3</v>
      </c>
      <c r="BD73" s="45">
        <v>0</v>
      </c>
      <c r="BE73" s="45">
        <v>6671.3</v>
      </c>
      <c r="BF73" s="45">
        <v>0</v>
      </c>
      <c r="BG73" s="45">
        <v>0</v>
      </c>
      <c r="BH73" s="45">
        <f>BJ73</f>
        <v>6671.3</v>
      </c>
      <c r="BI73" s="45">
        <v>0</v>
      </c>
      <c r="BJ73" s="45">
        <v>6671.3</v>
      </c>
      <c r="BK73" s="45">
        <v>0</v>
      </c>
      <c r="BL73" s="49">
        <v>0</v>
      </c>
      <c r="BM73" s="84">
        <f t="shared" si="476"/>
        <v>5890.8</v>
      </c>
      <c r="BN73" s="85">
        <f t="shared" si="476"/>
        <v>5890.8</v>
      </c>
      <c r="BO73" s="85">
        <v>0</v>
      </c>
      <c r="BP73" s="86">
        <v>0</v>
      </c>
      <c r="BQ73" s="45">
        <f>5966.07-14.53-60.74</f>
        <v>5890.8</v>
      </c>
      <c r="BR73" s="45">
        <f>5966.07-14.53-60.74</f>
        <v>5890.8</v>
      </c>
      <c r="BS73" s="45">
        <v>0</v>
      </c>
      <c r="BT73" s="45">
        <v>0</v>
      </c>
      <c r="BU73" s="45">
        <v>0</v>
      </c>
      <c r="BV73" s="49">
        <v>0</v>
      </c>
      <c r="BW73" s="46">
        <v>6064.14</v>
      </c>
      <c r="BX73" s="45">
        <v>0</v>
      </c>
      <c r="BY73" s="45">
        <f>BW73</f>
        <v>6064.14</v>
      </c>
      <c r="BZ73" s="45">
        <v>0</v>
      </c>
      <c r="CA73" s="45">
        <v>0</v>
      </c>
      <c r="CB73" s="45">
        <v>6222.17</v>
      </c>
      <c r="CC73" s="45">
        <v>0</v>
      </c>
      <c r="CD73" s="45">
        <f>CB73</f>
        <v>6222.17</v>
      </c>
      <c r="CE73" s="45">
        <v>0</v>
      </c>
      <c r="CF73" s="45">
        <v>0</v>
      </c>
      <c r="CG73" s="45">
        <v>6222.17</v>
      </c>
      <c r="CH73" s="45">
        <v>0</v>
      </c>
      <c r="CI73" s="45">
        <f>CG73</f>
        <v>6222.17</v>
      </c>
      <c r="CJ73" s="45">
        <v>0</v>
      </c>
      <c r="CK73" s="45">
        <v>0</v>
      </c>
      <c r="CL73" s="45">
        <v>6222.17</v>
      </c>
      <c r="CM73" s="45">
        <v>0</v>
      </c>
      <c r="CN73" s="45">
        <f>CL73</f>
        <v>6222.17</v>
      </c>
      <c r="CO73" s="45">
        <v>0</v>
      </c>
      <c r="CP73" s="49">
        <v>0</v>
      </c>
      <c r="CQ73" s="48">
        <v>5966.07</v>
      </c>
      <c r="CR73" s="46">
        <v>0</v>
      </c>
      <c r="CS73" s="46">
        <v>5966.07</v>
      </c>
      <c r="CT73" s="46">
        <v>0</v>
      </c>
      <c r="CU73" s="47">
        <v>0</v>
      </c>
      <c r="CV73" s="48">
        <v>6064.14</v>
      </c>
      <c r="CW73" s="45">
        <v>0</v>
      </c>
      <c r="CX73" s="45">
        <f>CV73</f>
        <v>6064.14</v>
      </c>
      <c r="CY73" s="45">
        <v>0</v>
      </c>
      <c r="CZ73" s="49">
        <v>0</v>
      </c>
      <c r="DA73" s="44">
        <v>6222.17</v>
      </c>
      <c r="DB73" s="45">
        <v>0</v>
      </c>
      <c r="DC73" s="45">
        <f>DA73</f>
        <v>6222.17</v>
      </c>
      <c r="DD73" s="45">
        <v>0</v>
      </c>
      <c r="DE73" s="49">
        <v>0</v>
      </c>
      <c r="DF73" s="48">
        <v>5890.8</v>
      </c>
      <c r="DG73" s="46">
        <v>0</v>
      </c>
      <c r="DH73" s="46">
        <v>5890.8</v>
      </c>
      <c r="DI73" s="45">
        <v>0</v>
      </c>
      <c r="DJ73" s="46">
        <v>0</v>
      </c>
      <c r="DK73" s="46">
        <v>6064.14</v>
      </c>
      <c r="DL73" s="45">
        <v>0</v>
      </c>
      <c r="DM73" s="45">
        <f>DK73</f>
        <v>6064.14</v>
      </c>
      <c r="DN73" s="45">
        <v>0</v>
      </c>
      <c r="DO73" s="45">
        <v>0</v>
      </c>
      <c r="DP73" s="45">
        <v>6222.17</v>
      </c>
      <c r="DQ73" s="45">
        <v>0</v>
      </c>
      <c r="DR73" s="45">
        <f>DP73</f>
        <v>6222.17</v>
      </c>
      <c r="DS73" s="45">
        <v>0</v>
      </c>
      <c r="DT73" s="45">
        <v>0</v>
      </c>
      <c r="DU73" s="50" t="s">
        <v>178</v>
      </c>
    </row>
    <row r="74" spans="1:125" customFormat="1" ht="112.5" x14ac:dyDescent="0.2">
      <c r="A74" s="38" t="s">
        <v>546</v>
      </c>
      <c r="B74" s="38" t="s">
        <v>547</v>
      </c>
      <c r="C74" s="39" t="s">
        <v>548</v>
      </c>
      <c r="D74" s="41" t="s">
        <v>532</v>
      </c>
      <c r="E74" s="41" t="s">
        <v>397</v>
      </c>
      <c r="F74" s="41" t="s">
        <v>533</v>
      </c>
      <c r="G74" s="41" t="s">
        <v>0</v>
      </c>
      <c r="H74" s="41" t="s">
        <v>0</v>
      </c>
      <c r="I74" s="41" t="s">
        <v>0</v>
      </c>
      <c r="J74" s="41" t="s">
        <v>0</v>
      </c>
      <c r="K74" s="41" t="s">
        <v>0</v>
      </c>
      <c r="L74" s="41" t="s">
        <v>0</v>
      </c>
      <c r="M74" s="41" t="s">
        <v>0</v>
      </c>
      <c r="N74" s="41" t="s">
        <v>0</v>
      </c>
      <c r="O74" s="41" t="s">
        <v>0</v>
      </c>
      <c r="P74" s="41" t="s">
        <v>0</v>
      </c>
      <c r="Q74" s="41" t="s">
        <v>0</v>
      </c>
      <c r="R74" s="41" t="s">
        <v>0</v>
      </c>
      <c r="S74" s="41" t="s">
        <v>0</v>
      </c>
      <c r="T74" s="41" t="s">
        <v>0</v>
      </c>
      <c r="U74" s="41" t="s">
        <v>0</v>
      </c>
      <c r="V74" s="41" t="s">
        <v>0</v>
      </c>
      <c r="W74" s="41" t="s">
        <v>0</v>
      </c>
      <c r="X74" s="58" t="s">
        <v>536</v>
      </c>
      <c r="Y74" s="59" t="s">
        <v>397</v>
      </c>
      <c r="Z74" s="58" t="s">
        <v>537</v>
      </c>
      <c r="AA74" s="41" t="s">
        <v>0</v>
      </c>
      <c r="AB74" s="41" t="s">
        <v>0</v>
      </c>
      <c r="AC74" s="41" t="s">
        <v>0</v>
      </c>
      <c r="AD74" s="55" t="s">
        <v>687</v>
      </c>
      <c r="AE74" s="41"/>
      <c r="AF74" s="41"/>
      <c r="AG74" s="42" t="s">
        <v>51</v>
      </c>
      <c r="AH74" s="43" t="s">
        <v>201</v>
      </c>
      <c r="AI74" s="44">
        <v>78978.87</v>
      </c>
      <c r="AJ74" s="45">
        <v>78978.87</v>
      </c>
      <c r="AK74" s="45"/>
      <c r="AL74" s="52"/>
      <c r="AM74" s="45">
        <v>78978.87</v>
      </c>
      <c r="AN74" s="45">
        <v>78978.87</v>
      </c>
      <c r="AO74" s="45"/>
      <c r="AP74" s="45"/>
      <c r="AQ74" s="45"/>
      <c r="AR74" s="45"/>
      <c r="AS74" s="53">
        <f>AU74</f>
        <v>91693.9</v>
      </c>
      <c r="AT74" s="45"/>
      <c r="AU74" s="53">
        <v>91693.9</v>
      </c>
      <c r="AV74" s="45"/>
      <c r="AW74" s="45"/>
      <c r="AX74" s="53">
        <f>AZ74</f>
        <v>84316.4</v>
      </c>
      <c r="AY74" s="45"/>
      <c r="AZ74" s="53">
        <v>84316.4</v>
      </c>
      <c r="BA74" s="45"/>
      <c r="BB74" s="45"/>
      <c r="BC74" s="53">
        <f>BE74</f>
        <v>84316.4</v>
      </c>
      <c r="BD74" s="45"/>
      <c r="BE74" s="53">
        <v>84316.4</v>
      </c>
      <c r="BF74" s="45"/>
      <c r="BG74" s="45"/>
      <c r="BH74" s="53">
        <f>BJ74</f>
        <v>84316.4</v>
      </c>
      <c r="BI74" s="45"/>
      <c r="BJ74" s="53">
        <v>84316.4</v>
      </c>
      <c r="BK74" s="45"/>
      <c r="BL74" s="49"/>
      <c r="BM74" s="44">
        <f t="shared" si="476"/>
        <v>78921.37</v>
      </c>
      <c r="BN74" s="90">
        <f t="shared" si="476"/>
        <v>78921.37</v>
      </c>
      <c r="BO74" s="90"/>
      <c r="BP74" s="52"/>
      <c r="BQ74" s="45">
        <f>78978.87-57.5</f>
        <v>78921.37</v>
      </c>
      <c r="BR74" s="45">
        <f>78978.87-57.5</f>
        <v>78921.37</v>
      </c>
      <c r="BS74" s="45"/>
      <c r="BT74" s="45"/>
      <c r="BU74" s="45"/>
      <c r="BV74" s="49"/>
      <c r="BW74" s="53">
        <f>BY74</f>
        <v>74698.760000000009</v>
      </c>
      <c r="BX74" s="45"/>
      <c r="BY74" s="53">
        <f>75028.99-4-326.23</f>
        <v>74698.760000000009</v>
      </c>
      <c r="BZ74" s="45"/>
      <c r="CA74" s="45"/>
      <c r="CB74" s="53">
        <f>CD74</f>
        <v>74698.760000000009</v>
      </c>
      <c r="CC74" s="45"/>
      <c r="CD74" s="53">
        <f>75028.99-4-326.23</f>
        <v>74698.760000000009</v>
      </c>
      <c r="CE74" s="45"/>
      <c r="CF74" s="45"/>
      <c r="CG74" s="53">
        <f>CI74</f>
        <v>74698.760000000009</v>
      </c>
      <c r="CH74" s="45"/>
      <c r="CI74" s="53">
        <f>75028.99-4-326.23</f>
        <v>74698.760000000009</v>
      </c>
      <c r="CJ74" s="45"/>
      <c r="CK74" s="45"/>
      <c r="CL74" s="53">
        <f>CN74</f>
        <v>74698.760000000009</v>
      </c>
      <c r="CM74" s="45"/>
      <c r="CN74" s="53">
        <f>75028.99-4-326.23</f>
        <v>74698.760000000009</v>
      </c>
      <c r="CO74" s="45"/>
      <c r="CP74" s="49"/>
      <c r="CQ74" s="48">
        <v>78978.87</v>
      </c>
      <c r="CR74" s="46"/>
      <c r="CS74" s="46">
        <v>78978.87</v>
      </c>
      <c r="CT74" s="46"/>
      <c r="CU74" s="47"/>
      <c r="CV74" s="54">
        <f>CX74</f>
        <v>75028.990000000005</v>
      </c>
      <c r="CW74" s="45"/>
      <c r="CX74" s="53">
        <v>75028.990000000005</v>
      </c>
      <c r="CY74" s="45"/>
      <c r="CZ74" s="49"/>
      <c r="DA74" s="54">
        <f>DC74</f>
        <v>75028.990000000005</v>
      </c>
      <c r="DB74" s="45"/>
      <c r="DC74" s="53">
        <v>75028.990000000005</v>
      </c>
      <c r="DD74" s="45"/>
      <c r="DE74" s="49"/>
      <c r="DF74" s="48">
        <v>78921.37</v>
      </c>
      <c r="DG74" s="46"/>
      <c r="DH74" s="46">
        <v>78921.37</v>
      </c>
      <c r="DI74" s="45"/>
      <c r="DJ74" s="46"/>
      <c r="DK74" s="53">
        <f>DM74</f>
        <v>74698.760000000009</v>
      </c>
      <c r="DL74" s="45"/>
      <c r="DM74" s="53">
        <f>75028.99-4-326.23</f>
        <v>74698.760000000009</v>
      </c>
      <c r="DN74" s="45"/>
      <c r="DO74" s="45"/>
      <c r="DP74" s="53">
        <f>DR74</f>
        <v>74698.760000000009</v>
      </c>
      <c r="DQ74" s="45"/>
      <c r="DR74" s="53">
        <f>75028.99-4-326.23</f>
        <v>74698.760000000009</v>
      </c>
      <c r="DS74" s="45"/>
      <c r="DT74" s="45"/>
      <c r="DU74" s="50"/>
    </row>
    <row r="75" spans="1:125" customFormat="1" ht="409.5" x14ac:dyDescent="0.2">
      <c r="A75" s="38" t="s">
        <v>336</v>
      </c>
      <c r="B75" s="38" t="s">
        <v>337</v>
      </c>
      <c r="C75" s="39" t="s">
        <v>338</v>
      </c>
      <c r="D75" s="40" t="s">
        <v>464</v>
      </c>
      <c r="E75" s="40" t="s">
        <v>0</v>
      </c>
      <c r="F75" s="40" t="s">
        <v>0</v>
      </c>
      <c r="G75" s="40" t="s">
        <v>0</v>
      </c>
      <c r="H75" s="40" t="s">
        <v>0</v>
      </c>
      <c r="I75" s="40" t="s">
        <v>0</v>
      </c>
      <c r="J75" s="40" t="s">
        <v>0</v>
      </c>
      <c r="K75" s="40" t="s">
        <v>465</v>
      </c>
      <c r="L75" s="40" t="s">
        <v>0</v>
      </c>
      <c r="M75" s="40" t="s">
        <v>0</v>
      </c>
      <c r="N75" s="40" t="s">
        <v>0</v>
      </c>
      <c r="O75" s="40" t="s">
        <v>0</v>
      </c>
      <c r="P75" s="40" t="s">
        <v>0</v>
      </c>
      <c r="Q75" s="40" t="s">
        <v>0</v>
      </c>
      <c r="R75" s="40" t="s">
        <v>0</v>
      </c>
      <c r="S75" s="40" t="s">
        <v>0</v>
      </c>
      <c r="T75" s="40" t="s">
        <v>0</v>
      </c>
      <c r="U75" s="40" t="s">
        <v>0</v>
      </c>
      <c r="V75" s="40" t="s">
        <v>0</v>
      </c>
      <c r="W75" s="40" t="s">
        <v>0</v>
      </c>
      <c r="X75" s="40" t="s">
        <v>520</v>
      </c>
      <c r="Y75" s="40" t="s">
        <v>0</v>
      </c>
      <c r="Z75" s="40" t="s">
        <v>0</v>
      </c>
      <c r="AA75" s="40" t="s">
        <v>0</v>
      </c>
      <c r="AB75" s="40" t="s">
        <v>0</v>
      </c>
      <c r="AC75" s="40" t="s">
        <v>0</v>
      </c>
      <c r="AD75" s="40" t="s">
        <v>511</v>
      </c>
      <c r="AE75" s="41"/>
      <c r="AF75" s="41"/>
      <c r="AG75" s="42" t="s">
        <v>55</v>
      </c>
      <c r="AH75" s="43" t="s">
        <v>292</v>
      </c>
      <c r="AI75" s="44">
        <v>23261.53</v>
      </c>
      <c r="AJ75" s="45">
        <v>23261.53</v>
      </c>
      <c r="AK75" s="45">
        <v>16973.03</v>
      </c>
      <c r="AL75" s="45">
        <v>16973.03</v>
      </c>
      <c r="AM75" s="45">
        <f>AI75-AK75</f>
        <v>6288.5</v>
      </c>
      <c r="AN75" s="45">
        <f>AJ75-AL75</f>
        <v>6288.5</v>
      </c>
      <c r="AO75" s="45">
        <v>0</v>
      </c>
      <c r="AP75" s="45">
        <v>0</v>
      </c>
      <c r="AQ75" s="45">
        <v>0</v>
      </c>
      <c r="AR75" s="45">
        <v>0</v>
      </c>
      <c r="AS75" s="53">
        <f>AU75</f>
        <v>43518.96</v>
      </c>
      <c r="AT75" s="45"/>
      <c r="AU75" s="45">
        <v>43518.96</v>
      </c>
      <c r="AV75" s="45">
        <v>0</v>
      </c>
      <c r="AW75" s="45">
        <v>0</v>
      </c>
      <c r="AX75" s="45">
        <v>0</v>
      </c>
      <c r="AY75" s="45">
        <v>0</v>
      </c>
      <c r="AZ75" s="45">
        <v>0</v>
      </c>
      <c r="BA75" s="45">
        <v>0</v>
      </c>
      <c r="BB75" s="45">
        <v>0</v>
      </c>
      <c r="BC75" s="45">
        <v>0</v>
      </c>
      <c r="BD75" s="45">
        <v>0</v>
      </c>
      <c r="BE75" s="45">
        <v>0</v>
      </c>
      <c r="BF75" s="45">
        <v>0</v>
      </c>
      <c r="BG75" s="45">
        <v>0</v>
      </c>
      <c r="BH75" s="45">
        <v>0</v>
      </c>
      <c r="BI75" s="45">
        <v>0</v>
      </c>
      <c r="BJ75" s="45">
        <v>0</v>
      </c>
      <c r="BK75" s="45">
        <v>0</v>
      </c>
      <c r="BL75" s="49">
        <v>0</v>
      </c>
      <c r="BM75" s="44">
        <f>BO75+BQ75+BS75+BU75</f>
        <v>0</v>
      </c>
      <c r="BN75" s="44">
        <f>BP75+BR75+BT75+BV75</f>
        <v>0</v>
      </c>
      <c r="BO75" s="45">
        <f>16973.03-16973.03</f>
        <v>0</v>
      </c>
      <c r="BP75" s="45">
        <f>16973.03-16973.03</f>
        <v>0</v>
      </c>
      <c r="BQ75" s="45">
        <v>0</v>
      </c>
      <c r="BR75" s="45">
        <v>0</v>
      </c>
      <c r="BS75" s="45">
        <v>0</v>
      </c>
      <c r="BT75" s="45">
        <v>0</v>
      </c>
      <c r="BU75" s="45">
        <v>0</v>
      </c>
      <c r="BV75" s="49">
        <v>0</v>
      </c>
      <c r="BW75" s="53">
        <f>SUBTOTAL(9,BX75:CA75)</f>
        <v>0</v>
      </c>
      <c r="BX75" s="45"/>
      <c r="BY75" s="53">
        <f>53339.5-53339.5</f>
        <v>0</v>
      </c>
      <c r="BZ75" s="45">
        <v>0</v>
      </c>
      <c r="CA75" s="45">
        <v>0</v>
      </c>
      <c r="CB75" s="45">
        <v>0</v>
      </c>
      <c r="CC75" s="45">
        <v>0</v>
      </c>
      <c r="CD75" s="45">
        <v>0</v>
      </c>
      <c r="CE75" s="45">
        <v>0</v>
      </c>
      <c r="CF75" s="45">
        <v>0</v>
      </c>
      <c r="CG75" s="45">
        <v>0</v>
      </c>
      <c r="CH75" s="45">
        <v>0</v>
      </c>
      <c r="CI75" s="45">
        <v>0</v>
      </c>
      <c r="CJ75" s="45">
        <v>0</v>
      </c>
      <c r="CK75" s="45">
        <v>0</v>
      </c>
      <c r="CL75" s="45">
        <v>0</v>
      </c>
      <c r="CM75" s="45">
        <v>0</v>
      </c>
      <c r="CN75" s="45">
        <v>0</v>
      </c>
      <c r="CO75" s="45">
        <v>0</v>
      </c>
      <c r="CP75" s="49">
        <v>0</v>
      </c>
      <c r="CQ75" s="48">
        <v>23261.53</v>
      </c>
      <c r="CR75" s="46">
        <v>16973.03</v>
      </c>
      <c r="CS75" s="46">
        <v>6288.5</v>
      </c>
      <c r="CT75" s="46">
        <v>0</v>
      </c>
      <c r="CU75" s="47">
        <v>0</v>
      </c>
      <c r="CV75" s="54">
        <v>53339.5</v>
      </c>
      <c r="CW75" s="45"/>
      <c r="CX75" s="45">
        <f>CV75-CW75</f>
        <v>53339.5</v>
      </c>
      <c r="CY75" s="45">
        <v>0</v>
      </c>
      <c r="CZ75" s="49">
        <v>0</v>
      </c>
      <c r="DA75" s="44">
        <v>0</v>
      </c>
      <c r="DB75" s="45">
        <v>0</v>
      </c>
      <c r="DC75" s="45">
        <v>0</v>
      </c>
      <c r="DD75" s="45">
        <v>0</v>
      </c>
      <c r="DE75" s="49">
        <v>0</v>
      </c>
      <c r="DF75" s="48">
        <v>0</v>
      </c>
      <c r="DG75" s="46">
        <v>0</v>
      </c>
      <c r="DH75" s="46">
        <v>0</v>
      </c>
      <c r="DI75" s="45">
        <v>0</v>
      </c>
      <c r="DJ75" s="46">
        <v>0</v>
      </c>
      <c r="DK75" s="53">
        <f>SUBTOTAL(9,DL75:DO75)</f>
        <v>0</v>
      </c>
      <c r="DL75" s="45"/>
      <c r="DM75" s="53">
        <f>53339.5-53339.5</f>
        <v>0</v>
      </c>
      <c r="DN75" s="45">
        <v>0</v>
      </c>
      <c r="DO75" s="45">
        <v>0</v>
      </c>
      <c r="DP75" s="45">
        <v>0</v>
      </c>
      <c r="DQ75" s="45">
        <v>0</v>
      </c>
      <c r="DR75" s="45">
        <v>0</v>
      </c>
      <c r="DS75" s="45">
        <v>0</v>
      </c>
      <c r="DT75" s="45">
        <v>0</v>
      </c>
      <c r="DU75" s="50" t="s">
        <v>219</v>
      </c>
    </row>
    <row r="76" spans="1:125" customFormat="1" ht="409.5" x14ac:dyDescent="0.2">
      <c r="A76" s="38" t="s">
        <v>576</v>
      </c>
      <c r="B76" s="38" t="s">
        <v>577</v>
      </c>
      <c r="C76" s="39" t="s">
        <v>578</v>
      </c>
      <c r="D76" s="103" t="s">
        <v>579</v>
      </c>
      <c r="E76" s="104" t="s">
        <v>397</v>
      </c>
      <c r="F76" s="104" t="s">
        <v>580</v>
      </c>
      <c r="G76" s="41" t="s">
        <v>0</v>
      </c>
      <c r="H76" s="41" t="s">
        <v>0</v>
      </c>
      <c r="I76" s="41" t="s">
        <v>0</v>
      </c>
      <c r="J76" s="41" t="s">
        <v>0</v>
      </c>
      <c r="K76" s="41" t="s">
        <v>0</v>
      </c>
      <c r="L76" s="41" t="s">
        <v>0</v>
      </c>
      <c r="M76" s="41" t="s">
        <v>0</v>
      </c>
      <c r="N76" s="41" t="s">
        <v>0</v>
      </c>
      <c r="O76" s="41" t="s">
        <v>0</v>
      </c>
      <c r="P76" s="41" t="s">
        <v>0</v>
      </c>
      <c r="Q76" s="41" t="s">
        <v>0</v>
      </c>
      <c r="R76" s="41" t="s">
        <v>0</v>
      </c>
      <c r="S76" s="41" t="s">
        <v>0</v>
      </c>
      <c r="T76" s="41" t="s">
        <v>0</v>
      </c>
      <c r="U76" s="41" t="s">
        <v>0</v>
      </c>
      <c r="V76" s="41" t="s">
        <v>0</v>
      </c>
      <c r="W76" s="41" t="s">
        <v>0</v>
      </c>
      <c r="X76" s="41" t="s">
        <v>0</v>
      </c>
      <c r="Y76" s="41" t="s">
        <v>0</v>
      </c>
      <c r="Z76" s="41" t="s">
        <v>0</v>
      </c>
      <c r="AA76" s="105" t="s">
        <v>581</v>
      </c>
      <c r="AB76" s="105" t="s">
        <v>582</v>
      </c>
      <c r="AC76" s="105" t="s">
        <v>583</v>
      </c>
      <c r="AD76" s="60" t="s">
        <v>688</v>
      </c>
      <c r="AE76" s="41"/>
      <c r="AF76" s="41"/>
      <c r="AG76" s="42" t="s">
        <v>55</v>
      </c>
      <c r="AH76" s="43" t="s">
        <v>292</v>
      </c>
      <c r="AI76" s="44">
        <v>5035</v>
      </c>
      <c r="AJ76" s="45">
        <v>4415.8500000000004</v>
      </c>
      <c r="AK76" s="45"/>
      <c r="AL76" s="45"/>
      <c r="AM76" s="45">
        <v>5035</v>
      </c>
      <c r="AN76" s="45">
        <v>4415.8500000000004</v>
      </c>
      <c r="AO76" s="45"/>
      <c r="AP76" s="45"/>
      <c r="AQ76" s="45"/>
      <c r="AR76" s="45"/>
      <c r="AS76" s="53">
        <f>AU76</f>
        <v>4895</v>
      </c>
      <c r="AT76" s="45"/>
      <c r="AU76" s="45">
        <v>4895</v>
      </c>
      <c r="AV76" s="45"/>
      <c r="AW76" s="45"/>
      <c r="AX76" s="53">
        <f>AZ76</f>
        <v>11402.8</v>
      </c>
      <c r="AY76" s="45"/>
      <c r="AZ76" s="45">
        <v>11402.8</v>
      </c>
      <c r="BA76" s="45"/>
      <c r="BB76" s="45"/>
      <c r="BC76" s="53">
        <f>BE76</f>
        <v>11402.8</v>
      </c>
      <c r="BD76" s="45"/>
      <c r="BE76" s="45">
        <v>11402.8</v>
      </c>
      <c r="BF76" s="45"/>
      <c r="BG76" s="45"/>
      <c r="BH76" s="53">
        <f>BJ76</f>
        <v>11402.8</v>
      </c>
      <c r="BI76" s="45"/>
      <c r="BJ76" s="45">
        <v>11402.8</v>
      </c>
      <c r="BK76" s="45"/>
      <c r="BL76" s="49"/>
      <c r="BM76" s="44">
        <v>5035</v>
      </c>
      <c r="BN76" s="45">
        <v>4415.8500000000004</v>
      </c>
      <c r="BO76" s="45"/>
      <c r="BP76" s="45"/>
      <c r="BQ76" s="45">
        <v>5035</v>
      </c>
      <c r="BR76" s="45">
        <v>4415.8500000000004</v>
      </c>
      <c r="BS76" s="45"/>
      <c r="BT76" s="45"/>
      <c r="BU76" s="45"/>
      <c r="BV76" s="49"/>
      <c r="BW76" s="53">
        <f>BY76</f>
        <v>11710</v>
      </c>
      <c r="BX76" s="45"/>
      <c r="BY76" s="45">
        <v>11710</v>
      </c>
      <c r="BZ76" s="45"/>
      <c r="CA76" s="45"/>
      <c r="CB76" s="53">
        <f>CD76</f>
        <v>11710</v>
      </c>
      <c r="CC76" s="45"/>
      <c r="CD76" s="45">
        <v>11710</v>
      </c>
      <c r="CE76" s="45"/>
      <c r="CF76" s="45"/>
      <c r="CG76" s="53">
        <f>CI76</f>
        <v>11710</v>
      </c>
      <c r="CH76" s="45"/>
      <c r="CI76" s="45">
        <v>11710</v>
      </c>
      <c r="CJ76" s="45"/>
      <c r="CK76" s="45"/>
      <c r="CL76" s="53">
        <f>CN76</f>
        <v>11710</v>
      </c>
      <c r="CM76" s="45"/>
      <c r="CN76" s="45">
        <v>11710</v>
      </c>
      <c r="CO76" s="45"/>
      <c r="CP76" s="49"/>
      <c r="CQ76" s="48">
        <v>5035</v>
      </c>
      <c r="CR76" s="46"/>
      <c r="CS76" s="46">
        <v>5035</v>
      </c>
      <c r="CT76" s="46"/>
      <c r="CU76" s="47"/>
      <c r="CV76" s="54">
        <f>CX76</f>
        <v>11710</v>
      </c>
      <c r="CW76" s="45"/>
      <c r="CX76" s="45">
        <v>11710</v>
      </c>
      <c r="CY76" s="45"/>
      <c r="CZ76" s="49"/>
      <c r="DA76" s="54">
        <f>DC76</f>
        <v>11710</v>
      </c>
      <c r="DB76" s="45"/>
      <c r="DC76" s="45">
        <v>11710</v>
      </c>
      <c r="DD76" s="45"/>
      <c r="DE76" s="49"/>
      <c r="DF76" s="48">
        <v>5035</v>
      </c>
      <c r="DG76" s="46"/>
      <c r="DH76" s="46">
        <v>5035</v>
      </c>
      <c r="DI76" s="45"/>
      <c r="DJ76" s="46"/>
      <c r="DK76" s="53">
        <f>DM76</f>
        <v>11710</v>
      </c>
      <c r="DL76" s="45"/>
      <c r="DM76" s="45">
        <v>11710</v>
      </c>
      <c r="DN76" s="45"/>
      <c r="DO76" s="45"/>
      <c r="DP76" s="53">
        <f>DR76</f>
        <v>11710</v>
      </c>
      <c r="DQ76" s="45"/>
      <c r="DR76" s="45">
        <v>11710</v>
      </c>
      <c r="DS76" s="45"/>
      <c r="DT76" s="45"/>
      <c r="DU76" s="50"/>
    </row>
    <row r="77" spans="1:125" customFormat="1" ht="409.5" x14ac:dyDescent="0.2">
      <c r="A77" s="38" t="s">
        <v>549</v>
      </c>
      <c r="B77" s="38" t="s">
        <v>550</v>
      </c>
      <c r="C77" s="39" t="s">
        <v>551</v>
      </c>
      <c r="D77" s="106" t="s">
        <v>553</v>
      </c>
      <c r="E77" s="106"/>
      <c r="F77" s="106"/>
      <c r="G77" s="106" t="s">
        <v>0</v>
      </c>
      <c r="H77" s="106" t="s">
        <v>0</v>
      </c>
      <c r="I77" s="106" t="s">
        <v>0</v>
      </c>
      <c r="J77" s="106" t="s">
        <v>0</v>
      </c>
      <c r="K77" s="106" t="s">
        <v>0</v>
      </c>
      <c r="L77" s="106" t="s">
        <v>0</v>
      </c>
      <c r="M77" s="106" t="s">
        <v>0</v>
      </c>
      <c r="N77" s="106" t="s">
        <v>554</v>
      </c>
      <c r="O77" s="106" t="s">
        <v>397</v>
      </c>
      <c r="P77" s="106" t="s">
        <v>555</v>
      </c>
      <c r="Q77" s="106" t="s">
        <v>0</v>
      </c>
      <c r="R77" s="106" t="s">
        <v>0</v>
      </c>
      <c r="S77" s="106" t="s">
        <v>0</v>
      </c>
      <c r="T77" s="106" t="s">
        <v>0</v>
      </c>
      <c r="U77" s="106" t="s">
        <v>0</v>
      </c>
      <c r="V77" s="106" t="s">
        <v>0</v>
      </c>
      <c r="W77" s="106" t="s">
        <v>0</v>
      </c>
      <c r="X77" s="106" t="s">
        <v>556</v>
      </c>
      <c r="Y77" s="107" t="s">
        <v>397</v>
      </c>
      <c r="Z77" s="107" t="s">
        <v>557</v>
      </c>
      <c r="AA77" s="106" t="s">
        <v>0</v>
      </c>
      <c r="AB77" s="106" t="s">
        <v>0</v>
      </c>
      <c r="AC77" s="106" t="s">
        <v>0</v>
      </c>
      <c r="AD77" s="108" t="s">
        <v>689</v>
      </c>
      <c r="AE77" s="41"/>
      <c r="AF77" s="41"/>
      <c r="AG77" s="42" t="s">
        <v>55</v>
      </c>
      <c r="AH77" s="43" t="s">
        <v>552</v>
      </c>
      <c r="AI77" s="44">
        <f>AK77+AM77</f>
        <v>93059.16</v>
      </c>
      <c r="AJ77" s="45">
        <f>AL77+AN77</f>
        <v>92345.069999999992</v>
      </c>
      <c r="AK77" s="45">
        <v>88791</v>
      </c>
      <c r="AL77" s="45">
        <v>88156.06</v>
      </c>
      <c r="AM77" s="45">
        <f>3643.2+624.96</f>
        <v>4268.16</v>
      </c>
      <c r="AN77" s="45">
        <f>3570.55+618.46</f>
        <v>4189.01</v>
      </c>
      <c r="AO77" s="45"/>
      <c r="AP77" s="45"/>
      <c r="AQ77" s="45"/>
      <c r="AR77" s="45"/>
      <c r="AS77" s="53">
        <f>SUBTOTAL(9,AT77:AW77)</f>
        <v>94505.1</v>
      </c>
      <c r="AT77" s="45">
        <v>90150.5</v>
      </c>
      <c r="AU77" s="45">
        <v>4354.6000000000004</v>
      </c>
      <c r="AV77" s="45"/>
      <c r="AW77" s="45"/>
      <c r="AX77" s="45">
        <f>SUBTOTAL(9,AY77:BB77)</f>
        <v>93676.3</v>
      </c>
      <c r="AY77" s="45">
        <v>90306.7</v>
      </c>
      <c r="AZ77" s="45">
        <v>3369.6</v>
      </c>
      <c r="BA77" s="45"/>
      <c r="BB77" s="45"/>
      <c r="BC77" s="45">
        <f>SUBTOTAL(9,BD77:BG77)</f>
        <v>93520.08</v>
      </c>
      <c r="BD77" s="45">
        <v>90150.48</v>
      </c>
      <c r="BE77" s="45">
        <v>3369.6</v>
      </c>
      <c r="BF77" s="45"/>
      <c r="BG77" s="45"/>
      <c r="BH77" s="45">
        <f>SUBTOTAL(9,BI77:BL77)</f>
        <v>3369.6</v>
      </c>
      <c r="BI77" s="45">
        <v>0</v>
      </c>
      <c r="BJ77" s="45">
        <v>3369.6</v>
      </c>
      <c r="BK77" s="45"/>
      <c r="BL77" s="49"/>
      <c r="BM77" s="44">
        <f>BO77+BQ77</f>
        <v>93059.16</v>
      </c>
      <c r="BN77" s="45">
        <f>BP77+BR77</f>
        <v>92345.069999999992</v>
      </c>
      <c r="BO77" s="45">
        <v>88791</v>
      </c>
      <c r="BP77" s="45">
        <v>88156.06</v>
      </c>
      <c r="BQ77" s="45">
        <f>3643.2+624.96</f>
        <v>4268.16</v>
      </c>
      <c r="BR77" s="45">
        <f>3570.55+618.46</f>
        <v>4189.01</v>
      </c>
      <c r="BS77" s="45"/>
      <c r="BT77" s="45"/>
      <c r="BU77" s="45"/>
      <c r="BV77" s="49"/>
      <c r="BW77" s="53">
        <f>SUBTOTAL(9,BX77:CA77)</f>
        <v>93778.11</v>
      </c>
      <c r="BX77" s="45">
        <v>90408.51</v>
      </c>
      <c r="BY77" s="45">
        <v>3369.6</v>
      </c>
      <c r="BZ77" s="45"/>
      <c r="CA77" s="45"/>
      <c r="CB77" s="45">
        <f>SUBTOTAL(9,CC77:CF77)</f>
        <v>93520.08</v>
      </c>
      <c r="CC77" s="45">
        <v>90150.48</v>
      </c>
      <c r="CD77" s="45">
        <v>3369.6</v>
      </c>
      <c r="CE77" s="45"/>
      <c r="CF77" s="45"/>
      <c r="CG77" s="45">
        <f>SUBTOTAL(9,CH77:CK77)</f>
        <v>93520.08</v>
      </c>
      <c r="CH77" s="45">
        <v>90150.48</v>
      </c>
      <c r="CI77" s="45">
        <v>3369.6</v>
      </c>
      <c r="CJ77" s="45"/>
      <c r="CK77" s="45"/>
      <c r="CL77" s="45">
        <f>SUBTOTAL(9,CM77:CP77)</f>
        <v>93520.08</v>
      </c>
      <c r="CM77" s="45">
        <v>90150.48</v>
      </c>
      <c r="CN77" s="45">
        <v>3369.6</v>
      </c>
      <c r="CO77" s="45"/>
      <c r="CP77" s="49"/>
      <c r="CQ77" s="48">
        <v>93059.16</v>
      </c>
      <c r="CR77" s="46">
        <v>88791</v>
      </c>
      <c r="CS77" s="46">
        <v>4268.16</v>
      </c>
      <c r="CT77" s="46"/>
      <c r="CU77" s="47"/>
      <c r="CV77" s="54">
        <f>SUBTOTAL(9,CW77:CZ77)</f>
        <v>93778.11</v>
      </c>
      <c r="CW77" s="45">
        <v>90408.51</v>
      </c>
      <c r="CX77" s="45">
        <v>3369.6</v>
      </c>
      <c r="CY77" s="45"/>
      <c r="CZ77" s="49"/>
      <c r="DA77" s="44">
        <f>SUBTOTAL(9,DB77:DE77)</f>
        <v>93520.08</v>
      </c>
      <c r="DB77" s="45">
        <v>90150.48</v>
      </c>
      <c r="DC77" s="45">
        <v>3369.6</v>
      </c>
      <c r="DD77" s="45"/>
      <c r="DE77" s="49"/>
      <c r="DF77" s="48">
        <v>93059.16</v>
      </c>
      <c r="DG77" s="46">
        <v>88791</v>
      </c>
      <c r="DH77" s="46">
        <v>4268.16</v>
      </c>
      <c r="DI77" s="45"/>
      <c r="DJ77" s="46"/>
      <c r="DK77" s="53">
        <f>SUBTOTAL(9,DL77:DO77)</f>
        <v>93778.11</v>
      </c>
      <c r="DL77" s="45">
        <v>90408.51</v>
      </c>
      <c r="DM77" s="45">
        <v>3369.6</v>
      </c>
      <c r="DN77" s="45"/>
      <c r="DO77" s="45"/>
      <c r="DP77" s="45">
        <f>SUBTOTAL(9,DQ77:DT77)</f>
        <v>93520.08</v>
      </c>
      <c r="DQ77" s="45">
        <v>90150.48</v>
      </c>
      <c r="DR77" s="45">
        <v>3369.6</v>
      </c>
      <c r="DS77" s="45"/>
      <c r="DT77" s="45"/>
      <c r="DU77" s="50"/>
    </row>
    <row r="78" spans="1:125" customFormat="1" ht="409.5" x14ac:dyDescent="0.2">
      <c r="A78" s="38" t="s">
        <v>339</v>
      </c>
      <c r="B78" s="38" t="s">
        <v>340</v>
      </c>
      <c r="C78" s="39" t="s">
        <v>341</v>
      </c>
      <c r="D78" s="40" t="s">
        <v>464</v>
      </c>
      <c r="E78" s="40" t="s">
        <v>0</v>
      </c>
      <c r="F78" s="40" t="s">
        <v>0</v>
      </c>
      <c r="G78" s="40" t="s">
        <v>0</v>
      </c>
      <c r="H78" s="40" t="s">
        <v>0</v>
      </c>
      <c r="I78" s="40" t="s">
        <v>0</v>
      </c>
      <c r="J78" s="40" t="s">
        <v>0</v>
      </c>
      <c r="K78" s="40" t="s">
        <v>0</v>
      </c>
      <c r="L78" s="40" t="s">
        <v>0</v>
      </c>
      <c r="M78" s="40" t="s">
        <v>0</v>
      </c>
      <c r="N78" s="40" t="s">
        <v>0</v>
      </c>
      <c r="O78" s="40" t="s">
        <v>0</v>
      </c>
      <c r="P78" s="40" t="s">
        <v>0</v>
      </c>
      <c r="Q78" s="40" t="s">
        <v>0</v>
      </c>
      <c r="R78" s="40" t="s">
        <v>0</v>
      </c>
      <c r="S78" s="40" t="s">
        <v>0</v>
      </c>
      <c r="T78" s="40" t="s">
        <v>0</v>
      </c>
      <c r="U78" s="40" t="s">
        <v>0</v>
      </c>
      <c r="V78" s="40" t="s">
        <v>0</v>
      </c>
      <c r="W78" s="40" t="s">
        <v>0</v>
      </c>
      <c r="X78" s="40" t="s">
        <v>521</v>
      </c>
      <c r="Y78" s="40" t="s">
        <v>0</v>
      </c>
      <c r="Z78" s="40" t="s">
        <v>0</v>
      </c>
      <c r="AA78" s="40" t="s">
        <v>466</v>
      </c>
      <c r="AB78" s="40" t="s">
        <v>0</v>
      </c>
      <c r="AC78" s="40" t="s">
        <v>0</v>
      </c>
      <c r="AD78" s="40" t="s">
        <v>512</v>
      </c>
      <c r="AE78" s="41"/>
      <c r="AF78" s="41"/>
      <c r="AG78" s="42" t="s">
        <v>55</v>
      </c>
      <c r="AH78" s="43" t="s">
        <v>292</v>
      </c>
      <c r="AI78" s="44">
        <f>7338.41+34686.59</f>
        <v>42025</v>
      </c>
      <c r="AJ78" s="45">
        <f>6898.58+30524.16</f>
        <v>37422.74</v>
      </c>
      <c r="AK78" s="45">
        <v>0</v>
      </c>
      <c r="AL78" s="52">
        <v>0</v>
      </c>
      <c r="AM78" s="45">
        <f>7338.41+34686.59</f>
        <v>42025</v>
      </c>
      <c r="AN78" s="45">
        <f>6898.58+30524.16</f>
        <v>37422.74</v>
      </c>
      <c r="AO78" s="45">
        <v>0</v>
      </c>
      <c r="AP78" s="45">
        <v>0</v>
      </c>
      <c r="AQ78" s="45">
        <v>0</v>
      </c>
      <c r="AR78" s="45">
        <v>0</v>
      </c>
      <c r="AS78" s="46">
        <f>AU78</f>
        <v>44391.3</v>
      </c>
      <c r="AT78" s="45">
        <v>0</v>
      </c>
      <c r="AU78" s="46">
        <v>44391.3</v>
      </c>
      <c r="AV78" s="45">
        <v>0</v>
      </c>
      <c r="AW78" s="45">
        <v>0</v>
      </c>
      <c r="AX78" s="46">
        <f>AZ78</f>
        <v>37278</v>
      </c>
      <c r="AY78" s="45">
        <v>0</v>
      </c>
      <c r="AZ78" s="46">
        <f>28754.4+4776.4+2323.7+300+600+523.4+0.1</f>
        <v>37278</v>
      </c>
      <c r="BA78" s="45">
        <v>0</v>
      </c>
      <c r="BB78" s="45">
        <v>0</v>
      </c>
      <c r="BC78" s="46">
        <f>BE78</f>
        <v>37278</v>
      </c>
      <c r="BD78" s="45">
        <v>0</v>
      </c>
      <c r="BE78" s="46">
        <f>28754.4+4776.4+2323.7+300+600+523.4+0.1</f>
        <v>37278</v>
      </c>
      <c r="BF78" s="45">
        <v>0</v>
      </c>
      <c r="BG78" s="45">
        <v>0</v>
      </c>
      <c r="BH78" s="46">
        <f>BJ78</f>
        <v>37278</v>
      </c>
      <c r="BI78" s="45">
        <v>0</v>
      </c>
      <c r="BJ78" s="46">
        <f>28754.4+4776.4+2323.7+300+600+523.4+0.1</f>
        <v>37278</v>
      </c>
      <c r="BK78" s="45">
        <v>0</v>
      </c>
      <c r="BL78" s="49">
        <v>0</v>
      </c>
      <c r="BM78" s="44">
        <f>7338.41+34686.59</f>
        <v>42025</v>
      </c>
      <c r="BN78" s="83">
        <f>6898.58+30524.16</f>
        <v>37422.74</v>
      </c>
      <c r="BO78" s="83">
        <v>0</v>
      </c>
      <c r="BP78" s="52">
        <v>0</v>
      </c>
      <c r="BQ78" s="45">
        <f>7338.41+34686.59</f>
        <v>42025</v>
      </c>
      <c r="BR78" s="45">
        <f>6898.58+30524.16</f>
        <v>37422.74</v>
      </c>
      <c r="BS78" s="45">
        <v>0</v>
      </c>
      <c r="BT78" s="45">
        <v>0</v>
      </c>
      <c r="BU78" s="45">
        <v>0</v>
      </c>
      <c r="BV78" s="49">
        <v>0</v>
      </c>
      <c r="BW78" s="46">
        <f>BY78</f>
        <v>41496.929999999993</v>
      </c>
      <c r="BX78" s="45">
        <v>0</v>
      </c>
      <c r="BY78" s="46">
        <f>7338.41+34158.52</f>
        <v>41496.929999999993</v>
      </c>
      <c r="BZ78" s="45">
        <v>0</v>
      </c>
      <c r="CA78" s="45">
        <v>0</v>
      </c>
      <c r="CB78" s="46">
        <f>CD78</f>
        <v>35305.199999999997</v>
      </c>
      <c r="CC78" s="45">
        <v>0</v>
      </c>
      <c r="CD78" s="46">
        <f>3860.36+31444.84</f>
        <v>35305.199999999997</v>
      </c>
      <c r="CE78" s="45">
        <v>0</v>
      </c>
      <c r="CF78" s="45">
        <v>0</v>
      </c>
      <c r="CG78" s="46">
        <f>CI78</f>
        <v>35305.199999999997</v>
      </c>
      <c r="CH78" s="45">
        <v>0</v>
      </c>
      <c r="CI78" s="46">
        <f>3860.36+31444.84</f>
        <v>35305.199999999997</v>
      </c>
      <c r="CJ78" s="45">
        <v>0</v>
      </c>
      <c r="CK78" s="45">
        <v>0</v>
      </c>
      <c r="CL78" s="46">
        <f>CN78</f>
        <v>35305.199999999997</v>
      </c>
      <c r="CM78" s="45">
        <v>0</v>
      </c>
      <c r="CN78" s="46">
        <f>3860.36+31444.84</f>
        <v>35305.199999999997</v>
      </c>
      <c r="CO78" s="45">
        <v>0</v>
      </c>
      <c r="CP78" s="49">
        <v>0</v>
      </c>
      <c r="CQ78" s="48">
        <v>42025</v>
      </c>
      <c r="CR78" s="46">
        <v>0</v>
      </c>
      <c r="CS78" s="46">
        <v>42025</v>
      </c>
      <c r="CT78" s="46">
        <v>0</v>
      </c>
      <c r="CU78" s="47">
        <v>0</v>
      </c>
      <c r="CV78" s="48">
        <f>CX78</f>
        <v>41496.929999999993</v>
      </c>
      <c r="CW78" s="45">
        <v>0</v>
      </c>
      <c r="CX78" s="46">
        <f>7338.41+34158.52</f>
        <v>41496.929999999993</v>
      </c>
      <c r="CY78" s="45">
        <v>0</v>
      </c>
      <c r="CZ78" s="49">
        <v>0</v>
      </c>
      <c r="DA78" s="48">
        <f>DC78</f>
        <v>35305.199999999997</v>
      </c>
      <c r="DB78" s="45">
        <v>0</v>
      </c>
      <c r="DC78" s="46">
        <f>3860.36+31444.84</f>
        <v>35305.199999999997</v>
      </c>
      <c r="DD78" s="45">
        <v>0</v>
      </c>
      <c r="DE78" s="49">
        <v>0</v>
      </c>
      <c r="DF78" s="48">
        <v>42025</v>
      </c>
      <c r="DG78" s="46">
        <v>0</v>
      </c>
      <c r="DH78" s="46">
        <v>42025</v>
      </c>
      <c r="DI78" s="45">
        <v>0</v>
      </c>
      <c r="DJ78" s="46">
        <v>0</v>
      </c>
      <c r="DK78" s="46">
        <f>DM78</f>
        <v>41496.929999999993</v>
      </c>
      <c r="DL78" s="45">
        <v>0</v>
      </c>
      <c r="DM78" s="46">
        <f>7338.41+34158.52</f>
        <v>41496.929999999993</v>
      </c>
      <c r="DN78" s="45">
        <v>0</v>
      </c>
      <c r="DO78" s="45">
        <v>0</v>
      </c>
      <c r="DP78" s="46">
        <f>DR78</f>
        <v>35305.199999999997</v>
      </c>
      <c r="DQ78" s="45">
        <v>0</v>
      </c>
      <c r="DR78" s="46">
        <f>3860.36+31444.84</f>
        <v>35305.199999999997</v>
      </c>
      <c r="DS78" s="45">
        <v>0</v>
      </c>
      <c r="DT78" s="45">
        <v>0</v>
      </c>
      <c r="DU78" s="50" t="s">
        <v>190</v>
      </c>
    </row>
    <row r="79" spans="1:125" customFormat="1" ht="168.75" x14ac:dyDescent="0.2">
      <c r="A79" s="38" t="s">
        <v>564</v>
      </c>
      <c r="B79" s="38" t="s">
        <v>565</v>
      </c>
      <c r="C79" s="39" t="s">
        <v>566</v>
      </c>
      <c r="D79" s="40" t="s">
        <v>427</v>
      </c>
      <c r="E79" s="40" t="s">
        <v>0</v>
      </c>
      <c r="F79" s="40" t="s">
        <v>0</v>
      </c>
      <c r="G79" s="40" t="s">
        <v>0</v>
      </c>
      <c r="H79" s="40" t="s">
        <v>0</v>
      </c>
      <c r="I79" s="40" t="s">
        <v>0</v>
      </c>
      <c r="J79" s="40" t="s">
        <v>0</v>
      </c>
      <c r="K79" s="40" t="s">
        <v>0</v>
      </c>
      <c r="L79" s="40" t="s">
        <v>0</v>
      </c>
      <c r="M79" s="40" t="s">
        <v>0</v>
      </c>
      <c r="N79" s="40" t="s">
        <v>0</v>
      </c>
      <c r="O79" s="40" t="s">
        <v>0</v>
      </c>
      <c r="P79" s="40" t="s">
        <v>0</v>
      </c>
      <c r="Q79" s="40" t="s">
        <v>0</v>
      </c>
      <c r="R79" s="40" t="s">
        <v>0</v>
      </c>
      <c r="S79" s="40" t="s">
        <v>0</v>
      </c>
      <c r="T79" s="40" t="s">
        <v>0</v>
      </c>
      <c r="U79" s="40" t="s">
        <v>0</v>
      </c>
      <c r="V79" s="40" t="s">
        <v>0</v>
      </c>
      <c r="W79" s="40" t="s">
        <v>0</v>
      </c>
      <c r="X79" s="40" t="s">
        <v>567</v>
      </c>
      <c r="Y79" s="40" t="s">
        <v>0</v>
      </c>
      <c r="Z79" s="40" t="s">
        <v>568</v>
      </c>
      <c r="AA79" s="40" t="s">
        <v>0</v>
      </c>
      <c r="AB79" s="40" t="s">
        <v>0</v>
      </c>
      <c r="AC79" s="40" t="s">
        <v>0</v>
      </c>
      <c r="AD79" s="40" t="s">
        <v>690</v>
      </c>
      <c r="AE79" s="41"/>
      <c r="AF79" s="41"/>
      <c r="AG79" s="42" t="s">
        <v>59</v>
      </c>
      <c r="AH79" s="43" t="s">
        <v>569</v>
      </c>
      <c r="AI79" s="44">
        <v>2464.7399999999998</v>
      </c>
      <c r="AJ79" s="45">
        <v>2464.7399999999998</v>
      </c>
      <c r="AK79" s="45"/>
      <c r="AL79" s="52"/>
      <c r="AM79" s="45">
        <v>2464.7399999999998</v>
      </c>
      <c r="AN79" s="45">
        <v>2464.7399999999998</v>
      </c>
      <c r="AO79" s="45"/>
      <c r="AP79" s="45"/>
      <c r="AQ79" s="45"/>
      <c r="AR79" s="45"/>
      <c r="AS79" s="46">
        <f>AU79</f>
        <v>2378.6</v>
      </c>
      <c r="AT79" s="45"/>
      <c r="AU79" s="45">
        <v>2378.6</v>
      </c>
      <c r="AV79" s="45"/>
      <c r="AW79" s="45"/>
      <c r="AX79" s="46">
        <f>AZ79</f>
        <v>2249.91</v>
      </c>
      <c r="AY79" s="45"/>
      <c r="AZ79" s="45">
        <f>2249.91</f>
        <v>2249.91</v>
      </c>
      <c r="BA79" s="45"/>
      <c r="BB79" s="45"/>
      <c r="BC79" s="46">
        <f>BE79</f>
        <v>2249.91</v>
      </c>
      <c r="BD79" s="45"/>
      <c r="BE79" s="45">
        <f>2249.91</f>
        <v>2249.91</v>
      </c>
      <c r="BF79" s="45"/>
      <c r="BG79" s="45"/>
      <c r="BH79" s="46">
        <f>BJ79</f>
        <v>2249.91</v>
      </c>
      <c r="BI79" s="45"/>
      <c r="BJ79" s="45">
        <f>2249.91</f>
        <v>2249.91</v>
      </c>
      <c r="BK79" s="45"/>
      <c r="BL79" s="49"/>
      <c r="BM79" s="84">
        <f>BQ79</f>
        <v>2158.5099999999998</v>
      </c>
      <c r="BN79" s="85">
        <f>BR79</f>
        <v>2158.5099999999998</v>
      </c>
      <c r="BO79" s="109"/>
      <c r="BP79" s="110"/>
      <c r="BQ79" s="45">
        <f>2464.74-95.31-210.92</f>
        <v>2158.5099999999998</v>
      </c>
      <c r="BR79" s="45">
        <f>2464.74-95.31-210.92</f>
        <v>2158.5099999999998</v>
      </c>
      <c r="BS79" s="45"/>
      <c r="BT79" s="45"/>
      <c r="BU79" s="45"/>
      <c r="BV79" s="49"/>
      <c r="BW79" s="46">
        <f>BY79</f>
        <v>2194.91</v>
      </c>
      <c r="BX79" s="45"/>
      <c r="BY79" s="45">
        <f>2249.91-55</f>
        <v>2194.91</v>
      </c>
      <c r="BZ79" s="45"/>
      <c r="CA79" s="45"/>
      <c r="CB79" s="46">
        <f>CD79</f>
        <v>2194.91</v>
      </c>
      <c r="CC79" s="45"/>
      <c r="CD79" s="45">
        <f>2249.91-55</f>
        <v>2194.91</v>
      </c>
      <c r="CE79" s="45"/>
      <c r="CF79" s="45"/>
      <c r="CG79" s="46">
        <f>CI79</f>
        <v>2194.91</v>
      </c>
      <c r="CH79" s="45"/>
      <c r="CI79" s="45">
        <f>2249.91-55</f>
        <v>2194.91</v>
      </c>
      <c r="CJ79" s="45"/>
      <c r="CK79" s="45"/>
      <c r="CL79" s="46">
        <f>CN79</f>
        <v>2194.91</v>
      </c>
      <c r="CM79" s="45"/>
      <c r="CN79" s="45">
        <f>2249.91-55</f>
        <v>2194.91</v>
      </c>
      <c r="CO79" s="45"/>
      <c r="CP79" s="49"/>
      <c r="CQ79" s="48">
        <v>2464.7399999999998</v>
      </c>
      <c r="CR79" s="46"/>
      <c r="CS79" s="46">
        <v>2464.7399999999998</v>
      </c>
      <c r="CT79" s="46"/>
      <c r="CU79" s="47"/>
      <c r="CV79" s="48">
        <f>CX79</f>
        <v>2249.91</v>
      </c>
      <c r="CW79" s="45"/>
      <c r="CX79" s="45">
        <f>2249.91</f>
        <v>2249.91</v>
      </c>
      <c r="CY79" s="45"/>
      <c r="CZ79" s="49"/>
      <c r="DA79" s="48">
        <f>DC79</f>
        <v>2249.91</v>
      </c>
      <c r="DB79" s="45"/>
      <c r="DC79" s="45">
        <f>2249.91</f>
        <v>2249.91</v>
      </c>
      <c r="DD79" s="45"/>
      <c r="DE79" s="49"/>
      <c r="DF79" s="48">
        <v>2158.5099999999998</v>
      </c>
      <c r="DG79" s="46"/>
      <c r="DH79" s="46">
        <v>2158.5099999999998</v>
      </c>
      <c r="DI79" s="45"/>
      <c r="DJ79" s="46"/>
      <c r="DK79" s="46">
        <f>DM79</f>
        <v>2194.91</v>
      </c>
      <c r="DL79" s="45"/>
      <c r="DM79" s="45">
        <f>2249.91-55</f>
        <v>2194.91</v>
      </c>
      <c r="DN79" s="45"/>
      <c r="DO79" s="45"/>
      <c r="DP79" s="46">
        <f>DR79</f>
        <v>2194.91</v>
      </c>
      <c r="DQ79" s="45"/>
      <c r="DR79" s="45">
        <f>2249.91-55</f>
        <v>2194.91</v>
      </c>
      <c r="DS79" s="45"/>
      <c r="DT79" s="45"/>
      <c r="DU79" s="50"/>
    </row>
    <row r="80" spans="1:125" customFormat="1" ht="292.5" x14ac:dyDescent="0.2">
      <c r="A80" s="38" t="s">
        <v>584</v>
      </c>
      <c r="B80" s="38" t="s">
        <v>585</v>
      </c>
      <c r="C80" s="39" t="s">
        <v>586</v>
      </c>
      <c r="D80" s="40" t="s">
        <v>587</v>
      </c>
      <c r="E80" s="40" t="s">
        <v>588</v>
      </c>
      <c r="F80" s="40" t="s">
        <v>0</v>
      </c>
      <c r="G80" s="40" t="s">
        <v>0</v>
      </c>
      <c r="H80" s="40" t="s">
        <v>0</v>
      </c>
      <c r="I80" s="40" t="s">
        <v>0</v>
      </c>
      <c r="J80" s="13" t="s">
        <v>0</v>
      </c>
      <c r="K80" s="40" t="s">
        <v>0</v>
      </c>
      <c r="L80" s="40" t="s">
        <v>0</v>
      </c>
      <c r="M80" s="40" t="s">
        <v>0</v>
      </c>
      <c r="N80" s="40" t="s">
        <v>0</v>
      </c>
      <c r="O80" s="40" t="s">
        <v>0</v>
      </c>
      <c r="P80" s="40" t="s">
        <v>0</v>
      </c>
      <c r="Q80" s="13" t="s">
        <v>0</v>
      </c>
      <c r="R80" s="40" t="s">
        <v>0</v>
      </c>
      <c r="S80" s="40" t="s">
        <v>0</v>
      </c>
      <c r="T80" s="40" t="s">
        <v>0</v>
      </c>
      <c r="U80" s="40" t="s">
        <v>0</v>
      </c>
      <c r="V80" s="40" t="s">
        <v>0</v>
      </c>
      <c r="W80" s="40" t="s">
        <v>0</v>
      </c>
      <c r="X80" s="40" t="s">
        <v>589</v>
      </c>
      <c r="Y80" s="40" t="s">
        <v>0</v>
      </c>
      <c r="Z80" s="40" t="s">
        <v>0</v>
      </c>
      <c r="AA80" s="40" t="s">
        <v>0</v>
      </c>
      <c r="AB80" s="40" t="s">
        <v>0</v>
      </c>
      <c r="AC80" s="40" t="s">
        <v>0</v>
      </c>
      <c r="AD80" s="40" t="s">
        <v>691</v>
      </c>
      <c r="AE80" s="41"/>
      <c r="AF80" s="41"/>
      <c r="AG80" s="42" t="s">
        <v>60</v>
      </c>
      <c r="AH80" s="43" t="s">
        <v>182</v>
      </c>
      <c r="AI80" s="44">
        <v>125.25</v>
      </c>
      <c r="AJ80" s="45">
        <v>125.25</v>
      </c>
      <c r="AK80" s="45"/>
      <c r="AL80" s="52"/>
      <c r="AM80" s="45">
        <v>125.25</v>
      </c>
      <c r="AN80" s="45">
        <v>125.25</v>
      </c>
      <c r="AO80" s="45"/>
      <c r="AP80" s="45"/>
      <c r="AQ80" s="45"/>
      <c r="AR80" s="45"/>
      <c r="AS80" s="46">
        <f>AU80</f>
        <v>125.3</v>
      </c>
      <c r="AT80" s="45"/>
      <c r="AU80" s="45">
        <v>125.3</v>
      </c>
      <c r="AV80" s="45"/>
      <c r="AW80" s="45"/>
      <c r="AX80" s="46">
        <f>AZ80</f>
        <v>125.25</v>
      </c>
      <c r="AY80" s="45"/>
      <c r="AZ80" s="45">
        <v>125.25</v>
      </c>
      <c r="BA80" s="45"/>
      <c r="BB80" s="45"/>
      <c r="BC80" s="46">
        <f>BE80</f>
        <v>125.25</v>
      </c>
      <c r="BD80" s="45"/>
      <c r="BE80" s="45">
        <v>125.25</v>
      </c>
      <c r="BF80" s="45"/>
      <c r="BG80" s="45"/>
      <c r="BH80" s="46">
        <f>BJ80</f>
        <v>125.3</v>
      </c>
      <c r="BI80" s="45"/>
      <c r="BJ80" s="45">
        <v>125.3</v>
      </c>
      <c r="BK80" s="45"/>
      <c r="BL80" s="49"/>
      <c r="BM80" s="44">
        <v>125.25</v>
      </c>
      <c r="BN80" s="111">
        <v>125.25</v>
      </c>
      <c r="BO80" s="85"/>
      <c r="BP80" s="98"/>
      <c r="BQ80" s="99">
        <v>125.25</v>
      </c>
      <c r="BR80" s="45">
        <v>125.25</v>
      </c>
      <c r="BS80" s="45"/>
      <c r="BT80" s="45"/>
      <c r="BU80" s="45"/>
      <c r="BV80" s="49"/>
      <c r="BW80" s="46">
        <f>BY80</f>
        <v>125.3</v>
      </c>
      <c r="BX80" s="45"/>
      <c r="BY80" s="45">
        <v>125.3</v>
      </c>
      <c r="BZ80" s="45"/>
      <c r="CA80" s="45"/>
      <c r="CB80" s="46">
        <f>CD80</f>
        <v>125.3</v>
      </c>
      <c r="CC80" s="45"/>
      <c r="CD80" s="45">
        <v>125.3</v>
      </c>
      <c r="CE80" s="45"/>
      <c r="CF80" s="45"/>
      <c r="CG80" s="46">
        <f>CI80</f>
        <v>125.3</v>
      </c>
      <c r="CH80" s="45"/>
      <c r="CI80" s="45">
        <v>125.3</v>
      </c>
      <c r="CJ80" s="45"/>
      <c r="CK80" s="45"/>
      <c r="CL80" s="46">
        <f>CN80</f>
        <v>125.3</v>
      </c>
      <c r="CM80" s="45"/>
      <c r="CN80" s="45">
        <v>125.3</v>
      </c>
      <c r="CO80" s="45"/>
      <c r="CP80" s="49"/>
      <c r="CQ80" s="48">
        <v>125.25</v>
      </c>
      <c r="CR80" s="46"/>
      <c r="CS80" s="46">
        <v>125.25</v>
      </c>
      <c r="CT80" s="46"/>
      <c r="CU80" s="47"/>
      <c r="CV80" s="48">
        <f>CX80</f>
        <v>125.3</v>
      </c>
      <c r="CW80" s="45"/>
      <c r="CX80" s="45">
        <v>125.3</v>
      </c>
      <c r="CY80" s="45"/>
      <c r="CZ80" s="49"/>
      <c r="DA80" s="48">
        <f>DC80</f>
        <v>125.3</v>
      </c>
      <c r="DB80" s="45"/>
      <c r="DC80" s="45">
        <v>125.3</v>
      </c>
      <c r="DD80" s="45"/>
      <c r="DE80" s="49"/>
      <c r="DF80" s="48">
        <v>125.25</v>
      </c>
      <c r="DG80" s="46"/>
      <c r="DH80" s="46">
        <v>125.25</v>
      </c>
      <c r="DI80" s="45"/>
      <c r="DJ80" s="46"/>
      <c r="DK80" s="46">
        <f>DM80</f>
        <v>125.3</v>
      </c>
      <c r="DL80" s="45"/>
      <c r="DM80" s="45">
        <v>125.3</v>
      </c>
      <c r="DN80" s="45"/>
      <c r="DO80" s="45"/>
      <c r="DP80" s="46">
        <f>DR80</f>
        <v>125.3</v>
      </c>
      <c r="DQ80" s="45"/>
      <c r="DR80" s="45">
        <v>125.3</v>
      </c>
      <c r="DS80" s="45"/>
      <c r="DT80" s="45"/>
      <c r="DU80" s="50"/>
    </row>
    <row r="81" spans="1:125" customFormat="1" ht="281.25" x14ac:dyDescent="0.2">
      <c r="A81" s="38" t="s">
        <v>570</v>
      </c>
      <c r="B81" s="38" t="s">
        <v>571</v>
      </c>
      <c r="C81" s="39" t="s">
        <v>572</v>
      </c>
      <c r="D81" s="55" t="s">
        <v>573</v>
      </c>
      <c r="E81" s="55" t="s">
        <v>0</v>
      </c>
      <c r="F81" s="55" t="s">
        <v>0</v>
      </c>
      <c r="G81" s="55" t="s">
        <v>0</v>
      </c>
      <c r="H81" s="55" t="s">
        <v>0</v>
      </c>
      <c r="I81" s="55" t="s">
        <v>0</v>
      </c>
      <c r="J81" s="55" t="s">
        <v>0</v>
      </c>
      <c r="K81" s="55" t="s">
        <v>0</v>
      </c>
      <c r="L81" s="55" t="s">
        <v>0</v>
      </c>
      <c r="M81" s="55" t="s">
        <v>0</v>
      </c>
      <c r="N81" s="55" t="s">
        <v>0</v>
      </c>
      <c r="O81" s="55" t="s">
        <v>0</v>
      </c>
      <c r="P81" s="55" t="s">
        <v>0</v>
      </c>
      <c r="Q81" s="55" t="s">
        <v>0</v>
      </c>
      <c r="R81" s="55" t="s">
        <v>0</v>
      </c>
      <c r="S81" s="55" t="s">
        <v>0</v>
      </c>
      <c r="T81" s="55" t="s">
        <v>0</v>
      </c>
      <c r="U81" s="55" t="s">
        <v>0</v>
      </c>
      <c r="V81" s="55" t="s">
        <v>0</v>
      </c>
      <c r="W81" s="55" t="s">
        <v>0</v>
      </c>
      <c r="X81" s="55" t="s">
        <v>574</v>
      </c>
      <c r="Y81" s="55" t="s">
        <v>0</v>
      </c>
      <c r="Z81" s="55" t="s">
        <v>0</v>
      </c>
      <c r="AA81" s="55" t="s">
        <v>575</v>
      </c>
      <c r="AB81" s="55" t="s">
        <v>0</v>
      </c>
      <c r="AC81" s="55" t="s">
        <v>0</v>
      </c>
      <c r="AD81" s="55" t="s">
        <v>692</v>
      </c>
      <c r="AE81" s="41"/>
      <c r="AF81" s="41"/>
      <c r="AG81" s="42" t="s">
        <v>46</v>
      </c>
      <c r="AH81" s="43" t="s">
        <v>182</v>
      </c>
      <c r="AI81" s="44">
        <v>1256.99</v>
      </c>
      <c r="AJ81" s="45">
        <v>1256.99</v>
      </c>
      <c r="AK81" s="45"/>
      <c r="AL81" s="52"/>
      <c r="AM81" s="45">
        <v>1256.99</v>
      </c>
      <c r="AN81" s="45">
        <v>1256.99</v>
      </c>
      <c r="AO81" s="45"/>
      <c r="AP81" s="45"/>
      <c r="AQ81" s="45"/>
      <c r="AR81" s="45"/>
      <c r="AS81" s="46">
        <f>AU81</f>
        <v>1367.4</v>
      </c>
      <c r="AT81" s="45"/>
      <c r="AU81" s="45">
        <v>1367.4</v>
      </c>
      <c r="AV81" s="45"/>
      <c r="AW81" s="45"/>
      <c r="AX81" s="46">
        <f>AZ81</f>
        <v>1385.5</v>
      </c>
      <c r="AY81" s="45"/>
      <c r="AZ81" s="45">
        <v>1385.5</v>
      </c>
      <c r="BA81" s="45"/>
      <c r="BB81" s="45"/>
      <c r="BC81" s="46">
        <f>BE81</f>
        <v>1385.5</v>
      </c>
      <c r="BD81" s="45"/>
      <c r="BE81" s="45">
        <v>1385.5</v>
      </c>
      <c r="BF81" s="45"/>
      <c r="BG81" s="45"/>
      <c r="BH81" s="46">
        <f>BJ81</f>
        <v>1385.5</v>
      </c>
      <c r="BI81" s="45"/>
      <c r="BJ81" s="45">
        <v>1385.5</v>
      </c>
      <c r="BK81" s="45"/>
      <c r="BL81" s="49"/>
      <c r="BM81" s="84">
        <f>BQ81</f>
        <v>1186.99</v>
      </c>
      <c r="BN81" s="85">
        <f>BR81</f>
        <v>1186.99</v>
      </c>
      <c r="BO81" s="85"/>
      <c r="BP81" s="98"/>
      <c r="BQ81" s="99">
        <f>1256.99-70</f>
        <v>1186.99</v>
      </c>
      <c r="BR81" s="99">
        <f>1256.99-70</f>
        <v>1186.99</v>
      </c>
      <c r="BS81" s="45"/>
      <c r="BT81" s="45"/>
      <c r="BU81" s="45"/>
      <c r="BV81" s="49"/>
      <c r="BW81" s="46">
        <f>BY81</f>
        <v>1274.02</v>
      </c>
      <c r="BX81" s="45"/>
      <c r="BY81" s="45">
        <v>1274.02</v>
      </c>
      <c r="BZ81" s="45"/>
      <c r="CA81" s="45"/>
      <c r="CB81" s="46">
        <f>CD81</f>
        <v>1274.02</v>
      </c>
      <c r="CC81" s="45"/>
      <c r="CD81" s="45">
        <v>1274.02</v>
      </c>
      <c r="CE81" s="45"/>
      <c r="CF81" s="45"/>
      <c r="CG81" s="46">
        <f>CI81</f>
        <v>1274.02</v>
      </c>
      <c r="CH81" s="45"/>
      <c r="CI81" s="45">
        <v>1274.02</v>
      </c>
      <c r="CJ81" s="45"/>
      <c r="CK81" s="45"/>
      <c r="CL81" s="46">
        <f>CN81</f>
        <v>1274.02</v>
      </c>
      <c r="CM81" s="45"/>
      <c r="CN81" s="45">
        <v>1274.02</v>
      </c>
      <c r="CO81" s="45"/>
      <c r="CP81" s="49"/>
      <c r="CQ81" s="48">
        <v>1256.99</v>
      </c>
      <c r="CR81" s="46"/>
      <c r="CS81" s="46">
        <v>1256.99</v>
      </c>
      <c r="CT81" s="46"/>
      <c r="CU81" s="47"/>
      <c r="CV81" s="48">
        <f>CX81</f>
        <v>1274.02</v>
      </c>
      <c r="CW81" s="45"/>
      <c r="CX81" s="45">
        <v>1274.02</v>
      </c>
      <c r="CY81" s="45"/>
      <c r="CZ81" s="49"/>
      <c r="DA81" s="48">
        <f>DC81</f>
        <v>1274.02</v>
      </c>
      <c r="DB81" s="45"/>
      <c r="DC81" s="45">
        <v>1274.02</v>
      </c>
      <c r="DD81" s="45"/>
      <c r="DE81" s="49"/>
      <c r="DF81" s="48">
        <v>1186.99</v>
      </c>
      <c r="DG81" s="46"/>
      <c r="DH81" s="46">
        <v>1186.99</v>
      </c>
      <c r="DI81" s="45"/>
      <c r="DJ81" s="46"/>
      <c r="DK81" s="46">
        <f>DM81</f>
        <v>1274.02</v>
      </c>
      <c r="DL81" s="45"/>
      <c r="DM81" s="45">
        <v>1274.02</v>
      </c>
      <c r="DN81" s="45"/>
      <c r="DO81" s="45"/>
      <c r="DP81" s="46">
        <f>DR81</f>
        <v>1274.02</v>
      </c>
      <c r="DQ81" s="45"/>
      <c r="DR81" s="45">
        <v>1274.02</v>
      </c>
      <c r="DS81" s="45"/>
      <c r="DT81" s="45"/>
      <c r="DU81" s="50"/>
    </row>
    <row r="82" spans="1:125" s="124" customFormat="1" ht="42" x14ac:dyDescent="0.2">
      <c r="A82" s="38" t="s">
        <v>526</v>
      </c>
      <c r="B82" s="38" t="s">
        <v>527</v>
      </c>
      <c r="C82" s="112" t="s">
        <v>528</v>
      </c>
      <c r="D82" s="113" t="s">
        <v>168</v>
      </c>
      <c r="E82" s="113" t="s">
        <v>168</v>
      </c>
      <c r="F82" s="113" t="s">
        <v>168</v>
      </c>
      <c r="G82" s="113" t="s">
        <v>168</v>
      </c>
      <c r="H82" s="113" t="s">
        <v>168</v>
      </c>
      <c r="I82" s="113" t="s">
        <v>168</v>
      </c>
      <c r="J82" s="113" t="s">
        <v>168</v>
      </c>
      <c r="K82" s="113" t="s">
        <v>168</v>
      </c>
      <c r="L82" s="113" t="s">
        <v>168</v>
      </c>
      <c r="M82" s="113" t="s">
        <v>168</v>
      </c>
      <c r="N82" s="113" t="s">
        <v>168</v>
      </c>
      <c r="O82" s="113" t="s">
        <v>168</v>
      </c>
      <c r="P82" s="113" t="s">
        <v>168</v>
      </c>
      <c r="Q82" s="113" t="s">
        <v>168</v>
      </c>
      <c r="R82" s="113" t="s">
        <v>168</v>
      </c>
      <c r="S82" s="113" t="s">
        <v>168</v>
      </c>
      <c r="T82" s="113" t="s">
        <v>168</v>
      </c>
      <c r="U82" s="113" t="s">
        <v>168</v>
      </c>
      <c r="V82" s="113" t="s">
        <v>168</v>
      </c>
      <c r="W82" s="113" t="s">
        <v>168</v>
      </c>
      <c r="X82" s="113" t="s">
        <v>168</v>
      </c>
      <c r="Y82" s="113" t="s">
        <v>168</v>
      </c>
      <c r="Z82" s="113" t="s">
        <v>168</v>
      </c>
      <c r="AA82" s="113" t="s">
        <v>168</v>
      </c>
      <c r="AB82" s="113" t="s">
        <v>168</v>
      </c>
      <c r="AC82" s="113" t="s">
        <v>168</v>
      </c>
      <c r="AD82" s="113" t="s">
        <v>168</v>
      </c>
      <c r="AE82" s="114" t="s">
        <v>168</v>
      </c>
      <c r="AF82" s="114" t="s">
        <v>168</v>
      </c>
      <c r="AG82" s="114" t="s">
        <v>168</v>
      </c>
      <c r="AH82" s="115" t="s">
        <v>168</v>
      </c>
      <c r="AI82" s="116">
        <f>SUM(AI83:AI84)</f>
        <v>1291006.5</v>
      </c>
      <c r="AJ82" s="117">
        <f t="shared" ref="AJ82:BL82" si="477">SUM(AJ83:AJ84)</f>
        <v>1291006.5</v>
      </c>
      <c r="AK82" s="117">
        <f t="shared" si="477"/>
        <v>0</v>
      </c>
      <c r="AL82" s="117">
        <f t="shared" si="477"/>
        <v>0</v>
      </c>
      <c r="AM82" s="117">
        <f t="shared" si="477"/>
        <v>1291006.5</v>
      </c>
      <c r="AN82" s="117">
        <f t="shared" si="477"/>
        <v>1291006.5</v>
      </c>
      <c r="AO82" s="117">
        <f t="shared" si="477"/>
        <v>0</v>
      </c>
      <c r="AP82" s="117">
        <f t="shared" si="477"/>
        <v>0</v>
      </c>
      <c r="AQ82" s="117">
        <f t="shared" si="477"/>
        <v>0</v>
      </c>
      <c r="AR82" s="117">
        <f t="shared" si="477"/>
        <v>0</v>
      </c>
      <c r="AS82" s="117">
        <f>SUM(AS83:AS84)</f>
        <v>1305730.8999999999</v>
      </c>
      <c r="AT82" s="117">
        <f t="shared" si="477"/>
        <v>0</v>
      </c>
      <c r="AU82" s="117">
        <f t="shared" si="477"/>
        <v>1305730.8999999999</v>
      </c>
      <c r="AV82" s="117">
        <f t="shared" si="477"/>
        <v>0</v>
      </c>
      <c r="AW82" s="117">
        <f t="shared" si="477"/>
        <v>0</v>
      </c>
      <c r="AX82" s="117">
        <f t="shared" si="477"/>
        <v>1264935.26</v>
      </c>
      <c r="AY82" s="117">
        <f t="shared" si="477"/>
        <v>0</v>
      </c>
      <c r="AZ82" s="117">
        <f t="shared" si="477"/>
        <v>1264935.26</v>
      </c>
      <c r="BA82" s="117">
        <f t="shared" si="477"/>
        <v>0</v>
      </c>
      <c r="BB82" s="117">
        <f t="shared" si="477"/>
        <v>0</v>
      </c>
      <c r="BC82" s="117">
        <f t="shared" si="477"/>
        <v>1298593.8999999999</v>
      </c>
      <c r="BD82" s="117">
        <f t="shared" si="477"/>
        <v>0</v>
      </c>
      <c r="BE82" s="117">
        <f t="shared" si="477"/>
        <v>1298593.8999999999</v>
      </c>
      <c r="BF82" s="117">
        <f t="shared" si="477"/>
        <v>0</v>
      </c>
      <c r="BG82" s="117">
        <f t="shared" si="477"/>
        <v>0</v>
      </c>
      <c r="BH82" s="117">
        <f t="shared" si="477"/>
        <v>1298593.8999999999</v>
      </c>
      <c r="BI82" s="117">
        <f t="shared" si="477"/>
        <v>0</v>
      </c>
      <c r="BJ82" s="117">
        <f t="shared" si="477"/>
        <v>1298593.8999999999</v>
      </c>
      <c r="BK82" s="117">
        <f t="shared" si="477"/>
        <v>0</v>
      </c>
      <c r="BL82" s="118">
        <f t="shared" si="477"/>
        <v>0</v>
      </c>
      <c r="BM82" s="116">
        <f>SUM(BM83:BM84)</f>
        <v>1259166.46</v>
      </c>
      <c r="BN82" s="119">
        <f t="shared" ref="BN82" si="478">SUM(BN83:BN84)</f>
        <v>1259166.46</v>
      </c>
      <c r="BO82" s="119">
        <f t="shared" ref="BO82" si="479">SUM(BO83:BO84)</f>
        <v>0</v>
      </c>
      <c r="BP82" s="119">
        <f t="shared" ref="BP82" si="480">SUM(BP83:BP84)</f>
        <v>0</v>
      </c>
      <c r="BQ82" s="117">
        <f t="shared" ref="BQ82" si="481">SUM(BQ83:BQ84)</f>
        <v>1259166.46</v>
      </c>
      <c r="BR82" s="117">
        <f t="shared" ref="BR82" si="482">SUM(BR83:BR84)</f>
        <v>1259166.46</v>
      </c>
      <c r="BS82" s="117">
        <f t="shared" ref="BS82" si="483">SUM(BS83:BS84)</f>
        <v>0</v>
      </c>
      <c r="BT82" s="117">
        <f t="shared" ref="BT82" si="484">SUM(BT83:BT84)</f>
        <v>0</v>
      </c>
      <c r="BU82" s="117">
        <f t="shared" ref="BU82" si="485">SUM(BU83:BU84)</f>
        <v>0</v>
      </c>
      <c r="BV82" s="118">
        <f t="shared" ref="BV82" si="486">SUM(BV83:BV84)</f>
        <v>0</v>
      </c>
      <c r="BW82" s="117">
        <f>SUM(BW83:BW84)</f>
        <v>1060671.01</v>
      </c>
      <c r="BX82" s="117">
        <f t="shared" ref="BX82" si="487">SUM(BX83:BX84)</f>
        <v>0</v>
      </c>
      <c r="BY82" s="117">
        <f t="shared" ref="BY82" si="488">SUM(BY83:BY84)</f>
        <v>1060671.01</v>
      </c>
      <c r="BZ82" s="117">
        <f t="shared" ref="BZ82" si="489">SUM(BZ83:BZ84)</f>
        <v>0</v>
      </c>
      <c r="CA82" s="117">
        <f t="shared" ref="CA82" si="490">SUM(CA83:CA84)</f>
        <v>0</v>
      </c>
      <c r="CB82" s="117">
        <f t="shared" ref="CB82" si="491">SUM(CB83:CB84)</f>
        <v>1158909.0200000003</v>
      </c>
      <c r="CC82" s="117">
        <f t="shared" ref="CC82" si="492">SUM(CC83:CC84)</f>
        <v>0</v>
      </c>
      <c r="CD82" s="117">
        <f t="shared" ref="CD82" si="493">SUM(CD83:CD84)</f>
        <v>1158909.0200000003</v>
      </c>
      <c r="CE82" s="117">
        <f t="shared" ref="CE82" si="494">SUM(CE83:CE84)</f>
        <v>0</v>
      </c>
      <c r="CF82" s="117">
        <f t="shared" ref="CF82" si="495">SUM(CF83:CF84)</f>
        <v>0</v>
      </c>
      <c r="CG82" s="117">
        <f t="shared" ref="CG82" si="496">SUM(CG83:CG84)</f>
        <v>1188088.1200000001</v>
      </c>
      <c r="CH82" s="117">
        <f t="shared" ref="CH82" si="497">SUM(CH83:CH84)</f>
        <v>0</v>
      </c>
      <c r="CI82" s="117">
        <f t="shared" ref="CI82" si="498">SUM(CI83:CI84)</f>
        <v>1188088.1200000001</v>
      </c>
      <c r="CJ82" s="117">
        <f t="shared" ref="CJ82" si="499">SUM(CJ83:CJ84)</f>
        <v>0</v>
      </c>
      <c r="CK82" s="117">
        <f t="shared" ref="CK82" si="500">SUM(CK83:CK84)</f>
        <v>0</v>
      </c>
      <c r="CL82" s="117">
        <f t="shared" ref="CL82" si="501">SUM(CL83:CL84)</f>
        <v>1188088.1200000001</v>
      </c>
      <c r="CM82" s="117">
        <f t="shared" ref="CM82" si="502">SUM(CM83:CM84)</f>
        <v>0</v>
      </c>
      <c r="CN82" s="117">
        <f t="shared" ref="CN82" si="503">SUM(CN83:CN84)</f>
        <v>1188088.1200000001</v>
      </c>
      <c r="CO82" s="117">
        <f t="shared" ref="CO82" si="504">SUM(CO83:CO84)</f>
        <v>0</v>
      </c>
      <c r="CP82" s="118">
        <f t="shared" ref="CP82" si="505">SUM(CP83:CP84)</f>
        <v>0</v>
      </c>
      <c r="CQ82" s="120">
        <v>1291006.5</v>
      </c>
      <c r="CR82" s="121">
        <v>0</v>
      </c>
      <c r="CS82" s="121">
        <v>1291006.5</v>
      </c>
      <c r="CT82" s="121">
        <v>0</v>
      </c>
      <c r="CU82" s="122">
        <v>0</v>
      </c>
      <c r="CV82" s="116">
        <f>SUM(CV83:CV84)</f>
        <v>1089200.33</v>
      </c>
      <c r="CW82" s="117">
        <f t="shared" ref="CW82" si="506">SUM(CW83:CW84)</f>
        <v>0</v>
      </c>
      <c r="CX82" s="117">
        <f t="shared" ref="CX82" si="507">SUM(CX83:CX84)</f>
        <v>1089200.33</v>
      </c>
      <c r="CY82" s="117">
        <f t="shared" ref="CY82" si="508">SUM(CY83:CY84)</f>
        <v>0</v>
      </c>
      <c r="CZ82" s="118">
        <f t="shared" ref="CZ82" si="509">SUM(CZ83:CZ84)</f>
        <v>0</v>
      </c>
      <c r="DA82" s="116">
        <f t="shared" ref="DA82" si="510">SUM(DA83:DA84)</f>
        <v>1187440.26</v>
      </c>
      <c r="DB82" s="117">
        <f t="shared" ref="DB82" si="511">SUM(DB83:DB84)</f>
        <v>0</v>
      </c>
      <c r="DC82" s="117">
        <f t="shared" ref="DC82" si="512">SUM(DC83:DC84)</f>
        <v>1187440.26</v>
      </c>
      <c r="DD82" s="117">
        <f t="shared" ref="DD82" si="513">SUM(DD83:DD84)</f>
        <v>0</v>
      </c>
      <c r="DE82" s="118">
        <f t="shared" ref="DE82" si="514">SUM(DE83:DE84)</f>
        <v>0</v>
      </c>
      <c r="DF82" s="120">
        <v>1259166.46</v>
      </c>
      <c r="DG82" s="121">
        <v>0</v>
      </c>
      <c r="DH82" s="121">
        <v>1259166.46</v>
      </c>
      <c r="DI82" s="117">
        <f t="shared" ref="DI82" si="515">SUM(DI83:DI84)</f>
        <v>0</v>
      </c>
      <c r="DJ82" s="121">
        <v>0</v>
      </c>
      <c r="DK82" s="117">
        <f>SUM(DK83:DK84)</f>
        <v>1060671.01</v>
      </c>
      <c r="DL82" s="117">
        <f t="shared" ref="DL82" si="516">SUM(DL83:DL84)</f>
        <v>0</v>
      </c>
      <c r="DM82" s="117">
        <f t="shared" ref="DM82" si="517">SUM(DM83:DM84)</f>
        <v>1060671.01</v>
      </c>
      <c r="DN82" s="117">
        <f t="shared" ref="DN82" si="518">SUM(DN83:DN84)</f>
        <v>0</v>
      </c>
      <c r="DO82" s="117">
        <f t="shared" ref="DO82" si="519">SUM(DO83:DO84)</f>
        <v>0</v>
      </c>
      <c r="DP82" s="117">
        <f t="shared" ref="DP82" si="520">SUM(DP83:DP84)</f>
        <v>1158909.0200000003</v>
      </c>
      <c r="DQ82" s="117">
        <f t="shared" ref="DQ82" si="521">SUM(DQ83:DQ84)</f>
        <v>0</v>
      </c>
      <c r="DR82" s="117">
        <f t="shared" ref="DR82" si="522">SUM(DR83:DR84)</f>
        <v>1158909.0200000003</v>
      </c>
      <c r="DS82" s="117">
        <f t="shared" ref="DS82" si="523">SUM(DS83:DS84)</f>
        <v>0</v>
      </c>
      <c r="DT82" s="117">
        <f t="shared" ref="DT82" si="524">SUM(DT83:DT84)</f>
        <v>0</v>
      </c>
      <c r="DU82" s="123"/>
    </row>
    <row r="83" spans="1:125" customFormat="1" ht="409.5" x14ac:dyDescent="0.2">
      <c r="A83" s="38" t="s">
        <v>529</v>
      </c>
      <c r="B83" s="38" t="s">
        <v>530</v>
      </c>
      <c r="C83" s="39" t="s">
        <v>531</v>
      </c>
      <c r="D83" s="41" t="s">
        <v>532</v>
      </c>
      <c r="E83" s="41" t="s">
        <v>397</v>
      </c>
      <c r="F83" s="41" t="s">
        <v>533</v>
      </c>
      <c r="G83" s="41" t="s">
        <v>0</v>
      </c>
      <c r="H83" s="41" t="s">
        <v>0</v>
      </c>
      <c r="I83" s="41" t="s">
        <v>0</v>
      </c>
      <c r="J83" s="41" t="s">
        <v>0</v>
      </c>
      <c r="K83" s="41" t="s">
        <v>534</v>
      </c>
      <c r="L83" s="41" t="s">
        <v>397</v>
      </c>
      <c r="M83" s="41" t="s">
        <v>535</v>
      </c>
      <c r="N83" s="41" t="s">
        <v>0</v>
      </c>
      <c r="O83" s="41" t="s">
        <v>0</v>
      </c>
      <c r="P83" s="41" t="s">
        <v>0</v>
      </c>
      <c r="Q83" s="41" t="s">
        <v>0</v>
      </c>
      <c r="R83" s="41" t="s">
        <v>0</v>
      </c>
      <c r="S83" s="41" t="s">
        <v>0</v>
      </c>
      <c r="T83" s="41" t="s">
        <v>0</v>
      </c>
      <c r="U83" s="41" t="s">
        <v>0</v>
      </c>
      <c r="V83" s="41" t="s">
        <v>0</v>
      </c>
      <c r="W83" s="41" t="s">
        <v>0</v>
      </c>
      <c r="X83" s="58" t="s">
        <v>536</v>
      </c>
      <c r="Y83" s="59" t="s">
        <v>397</v>
      </c>
      <c r="Z83" s="58" t="s">
        <v>537</v>
      </c>
      <c r="AA83" s="41" t="s">
        <v>538</v>
      </c>
      <c r="AB83" s="41" t="s">
        <v>397</v>
      </c>
      <c r="AC83" s="41" t="s">
        <v>539</v>
      </c>
      <c r="AD83" s="55" t="s">
        <v>693</v>
      </c>
      <c r="AE83" s="41" t="s">
        <v>397</v>
      </c>
      <c r="AF83" s="41" t="s">
        <v>540</v>
      </c>
      <c r="AG83" s="42" t="s">
        <v>51</v>
      </c>
      <c r="AH83" s="43" t="s">
        <v>201</v>
      </c>
      <c r="AI83" s="44">
        <v>1184384.48</v>
      </c>
      <c r="AJ83" s="45">
        <v>1184384.48</v>
      </c>
      <c r="AK83" s="45"/>
      <c r="AL83" s="52"/>
      <c r="AM83" s="45">
        <v>1184384.48</v>
      </c>
      <c r="AN83" s="45">
        <v>1184384.48</v>
      </c>
      <c r="AO83" s="45"/>
      <c r="AP83" s="45"/>
      <c r="AQ83" s="45"/>
      <c r="AR83" s="45"/>
      <c r="AS83" s="46">
        <f>AU83</f>
        <v>1201126.8999999999</v>
      </c>
      <c r="AT83" s="45"/>
      <c r="AU83" s="45">
        <v>1201126.8999999999</v>
      </c>
      <c r="AV83" s="45"/>
      <c r="AW83" s="45"/>
      <c r="AX83" s="46">
        <f>AZ83</f>
        <v>1011948.2</v>
      </c>
      <c r="AY83" s="45"/>
      <c r="AZ83" s="45">
        <v>1011948.2</v>
      </c>
      <c r="BA83" s="45"/>
      <c r="BB83" s="45"/>
      <c r="BC83" s="46">
        <f>BE83</f>
        <v>1045606.84</v>
      </c>
      <c r="BD83" s="45"/>
      <c r="BE83" s="45">
        <v>1045606.84</v>
      </c>
      <c r="BF83" s="45"/>
      <c r="BG83" s="45"/>
      <c r="BH83" s="46">
        <f>BJ83</f>
        <v>1045606.84</v>
      </c>
      <c r="BI83" s="45"/>
      <c r="BJ83" s="45">
        <v>1045606.84</v>
      </c>
      <c r="BK83" s="45"/>
      <c r="BL83" s="49"/>
      <c r="BM83" s="44">
        <f>BQ83</f>
        <v>1154163.22</v>
      </c>
      <c r="BN83" s="45">
        <f>BR83</f>
        <v>1154163.22</v>
      </c>
      <c r="BO83" s="45"/>
      <c r="BP83" s="52"/>
      <c r="BQ83" s="45">
        <f>1184384.48-550.95-544.73-29125.58</f>
        <v>1154163.22</v>
      </c>
      <c r="BR83" s="45">
        <f>1184384.48-550.95-544.73-29125.58</f>
        <v>1154163.22</v>
      </c>
      <c r="BS83" s="45"/>
      <c r="BT83" s="45"/>
      <c r="BU83" s="45"/>
      <c r="BV83" s="49"/>
      <c r="BW83" s="46">
        <f>BY83</f>
        <v>968874.33000000007</v>
      </c>
      <c r="BX83" s="45"/>
      <c r="BY83" s="45">
        <f>1089200.33-94996.77-25329.23</f>
        <v>968874.33000000007</v>
      </c>
      <c r="BZ83" s="45"/>
      <c r="CA83" s="45"/>
      <c r="CB83" s="46">
        <f>CD83</f>
        <v>1057049.6700000002</v>
      </c>
      <c r="CC83" s="45"/>
      <c r="CD83" s="45">
        <f>1187440.26-105059.44-25331.15</f>
        <v>1057049.6700000002</v>
      </c>
      <c r="CE83" s="45"/>
      <c r="CF83" s="45"/>
      <c r="CG83" s="46">
        <f>CI83</f>
        <v>1108968.3800000001</v>
      </c>
      <c r="CH83" s="45"/>
      <c r="CI83" s="45">
        <f>1216619.36-107650.98</f>
        <v>1108968.3800000001</v>
      </c>
      <c r="CJ83" s="45"/>
      <c r="CK83" s="45"/>
      <c r="CL83" s="46">
        <f>CN83</f>
        <v>1108968.3800000001</v>
      </c>
      <c r="CM83" s="45"/>
      <c r="CN83" s="45">
        <f>1216619.36-107650.98</f>
        <v>1108968.3800000001</v>
      </c>
      <c r="CO83" s="45"/>
      <c r="CP83" s="49"/>
      <c r="CQ83" s="48">
        <v>1184384.48</v>
      </c>
      <c r="CR83" s="46"/>
      <c r="CS83" s="46">
        <v>1184384.48</v>
      </c>
      <c r="CT83" s="46"/>
      <c r="CU83" s="47"/>
      <c r="CV83" s="48">
        <f>CX83</f>
        <v>994203.56</v>
      </c>
      <c r="CW83" s="45"/>
      <c r="CX83" s="45">
        <f>1089200.33-94996.77</f>
        <v>994203.56</v>
      </c>
      <c r="CY83" s="45"/>
      <c r="CZ83" s="49"/>
      <c r="DA83" s="48">
        <f>DC83</f>
        <v>1082380.82</v>
      </c>
      <c r="DB83" s="45"/>
      <c r="DC83" s="45">
        <f>1187440.26-105059.44</f>
        <v>1082380.82</v>
      </c>
      <c r="DD83" s="45"/>
      <c r="DE83" s="49"/>
      <c r="DF83" s="48">
        <v>1154163.22</v>
      </c>
      <c r="DG83" s="46"/>
      <c r="DH83" s="46">
        <v>1154163.22</v>
      </c>
      <c r="DI83" s="45"/>
      <c r="DJ83" s="46"/>
      <c r="DK83" s="46">
        <f>DM83</f>
        <v>968874.33000000007</v>
      </c>
      <c r="DL83" s="45"/>
      <c r="DM83" s="45">
        <f>1089200.33-94996.77-25329.23</f>
        <v>968874.33000000007</v>
      </c>
      <c r="DN83" s="45"/>
      <c r="DO83" s="45"/>
      <c r="DP83" s="46">
        <f>DR83</f>
        <v>1057049.6700000002</v>
      </c>
      <c r="DQ83" s="45"/>
      <c r="DR83" s="45">
        <f>1187440.26-105059.44-25331.15</f>
        <v>1057049.6700000002</v>
      </c>
      <c r="DS83" s="45"/>
      <c r="DT83" s="45"/>
      <c r="DU83" s="50"/>
    </row>
    <row r="84" spans="1:125" customFormat="1" ht="409.5" x14ac:dyDescent="0.2">
      <c r="A84" s="38" t="s">
        <v>541</v>
      </c>
      <c r="B84" s="38" t="s">
        <v>542</v>
      </c>
      <c r="C84" s="39" t="s">
        <v>543</v>
      </c>
      <c r="D84" s="41" t="s">
        <v>532</v>
      </c>
      <c r="E84" s="41" t="s">
        <v>544</v>
      </c>
      <c r="F84" s="41" t="s">
        <v>545</v>
      </c>
      <c r="G84" s="41" t="s">
        <v>0</v>
      </c>
      <c r="H84" s="41" t="s">
        <v>0</v>
      </c>
      <c r="I84" s="41" t="s">
        <v>0</v>
      </c>
      <c r="J84" s="41" t="s">
        <v>0</v>
      </c>
      <c r="K84" s="41" t="s">
        <v>534</v>
      </c>
      <c r="L84" s="41" t="s">
        <v>397</v>
      </c>
      <c r="M84" s="41" t="s">
        <v>535</v>
      </c>
      <c r="N84" s="41" t="s">
        <v>0</v>
      </c>
      <c r="O84" s="41" t="s">
        <v>0</v>
      </c>
      <c r="P84" s="41" t="s">
        <v>0</v>
      </c>
      <c r="Q84" s="41" t="s">
        <v>0</v>
      </c>
      <c r="R84" s="41" t="s">
        <v>0</v>
      </c>
      <c r="S84" s="41" t="s">
        <v>0</v>
      </c>
      <c r="T84" s="41" t="s">
        <v>0</v>
      </c>
      <c r="U84" s="41" t="s">
        <v>0</v>
      </c>
      <c r="V84" s="41" t="s">
        <v>0</v>
      </c>
      <c r="W84" s="41" t="s">
        <v>0</v>
      </c>
      <c r="X84" s="58" t="s">
        <v>536</v>
      </c>
      <c r="Y84" s="59" t="s">
        <v>397</v>
      </c>
      <c r="Z84" s="58" t="s">
        <v>537</v>
      </c>
      <c r="AA84" s="41" t="s">
        <v>538</v>
      </c>
      <c r="AB84" s="41" t="s">
        <v>397</v>
      </c>
      <c r="AC84" s="41" t="s">
        <v>539</v>
      </c>
      <c r="AD84" s="55" t="s">
        <v>694</v>
      </c>
      <c r="AE84" s="41" t="s">
        <v>397</v>
      </c>
      <c r="AF84" s="41" t="s">
        <v>540</v>
      </c>
      <c r="AG84" s="42" t="s">
        <v>51</v>
      </c>
      <c r="AH84" s="43" t="s">
        <v>201</v>
      </c>
      <c r="AI84" s="44">
        <v>106622.02</v>
      </c>
      <c r="AJ84" s="45">
        <v>106622.02</v>
      </c>
      <c r="AK84" s="45"/>
      <c r="AL84" s="52"/>
      <c r="AM84" s="45">
        <v>106622.02</v>
      </c>
      <c r="AN84" s="45">
        <v>106622.02</v>
      </c>
      <c r="AO84" s="45"/>
      <c r="AP84" s="45"/>
      <c r="AQ84" s="45"/>
      <c r="AR84" s="45"/>
      <c r="AS84" s="46">
        <f>AU84</f>
        <v>104604</v>
      </c>
      <c r="AT84" s="45"/>
      <c r="AU84" s="45">
        <v>104604</v>
      </c>
      <c r="AV84" s="45"/>
      <c r="AW84" s="45"/>
      <c r="AX84" s="46">
        <f>AZ84</f>
        <v>252987.06</v>
      </c>
      <c r="AY84" s="45"/>
      <c r="AZ84" s="45">
        <v>252987.06</v>
      </c>
      <c r="BA84" s="45"/>
      <c r="BB84" s="45"/>
      <c r="BC84" s="46">
        <f>BE84</f>
        <v>252987.06</v>
      </c>
      <c r="BD84" s="45"/>
      <c r="BE84" s="45">
        <v>252987.06</v>
      </c>
      <c r="BF84" s="45"/>
      <c r="BG84" s="45"/>
      <c r="BH84" s="46">
        <f>BJ84</f>
        <v>252987.06</v>
      </c>
      <c r="BI84" s="45"/>
      <c r="BJ84" s="45">
        <v>252987.06</v>
      </c>
      <c r="BK84" s="45"/>
      <c r="BL84" s="49"/>
      <c r="BM84" s="44">
        <f>BQ84</f>
        <v>105003.24</v>
      </c>
      <c r="BN84" s="45">
        <f>BR84</f>
        <v>105003.24</v>
      </c>
      <c r="BO84" s="45"/>
      <c r="BP84" s="52"/>
      <c r="BQ84" s="45">
        <f>106622.02-147.13-281.23-411.85-64.9-713.67</f>
        <v>105003.24</v>
      </c>
      <c r="BR84" s="45">
        <f>106622.02-147.13-281.23-411.85-64.9-713.67</f>
        <v>105003.24</v>
      </c>
      <c r="BS84" s="45"/>
      <c r="BT84" s="45"/>
      <c r="BU84" s="45"/>
      <c r="BV84" s="49"/>
      <c r="BW84" s="46">
        <f>BY84</f>
        <v>91796.680000000008</v>
      </c>
      <c r="BX84" s="45"/>
      <c r="BY84" s="45">
        <f>94996.77-3200.09</f>
        <v>91796.680000000008</v>
      </c>
      <c r="BZ84" s="45"/>
      <c r="CA84" s="45"/>
      <c r="CB84" s="46">
        <f>CD84</f>
        <v>101859.35</v>
      </c>
      <c r="CC84" s="45"/>
      <c r="CD84" s="45">
        <f>105059.44-3200.09</f>
        <v>101859.35</v>
      </c>
      <c r="CE84" s="45"/>
      <c r="CF84" s="45"/>
      <c r="CG84" s="46">
        <f>CI84</f>
        <v>79119.739999999991</v>
      </c>
      <c r="CH84" s="45"/>
      <c r="CI84" s="45">
        <f>107650.98-3200.09-25331.15</f>
        <v>79119.739999999991</v>
      </c>
      <c r="CJ84" s="45"/>
      <c r="CK84" s="45"/>
      <c r="CL84" s="46">
        <f>CN84</f>
        <v>79119.739999999991</v>
      </c>
      <c r="CM84" s="45"/>
      <c r="CN84" s="45">
        <f>107650.98-3200.09-25331.15</f>
        <v>79119.739999999991</v>
      </c>
      <c r="CO84" s="45"/>
      <c r="CP84" s="49"/>
      <c r="CQ84" s="48">
        <v>106622.02</v>
      </c>
      <c r="CR84" s="46"/>
      <c r="CS84" s="46">
        <v>106622.02</v>
      </c>
      <c r="CT84" s="46"/>
      <c r="CU84" s="47"/>
      <c r="CV84" s="48">
        <f>CX84</f>
        <v>94996.77</v>
      </c>
      <c r="CW84" s="45"/>
      <c r="CX84" s="45">
        <v>94996.77</v>
      </c>
      <c r="CY84" s="45"/>
      <c r="CZ84" s="49"/>
      <c r="DA84" s="48">
        <f>DC84</f>
        <v>105059.44</v>
      </c>
      <c r="DB84" s="45"/>
      <c r="DC84" s="45">
        <v>105059.44</v>
      </c>
      <c r="DD84" s="45"/>
      <c r="DE84" s="49"/>
      <c r="DF84" s="48">
        <v>105003.24</v>
      </c>
      <c r="DG84" s="46"/>
      <c r="DH84" s="46">
        <v>105003.24</v>
      </c>
      <c r="DI84" s="45"/>
      <c r="DJ84" s="46"/>
      <c r="DK84" s="46">
        <f>DM84</f>
        <v>91796.680000000008</v>
      </c>
      <c r="DL84" s="45"/>
      <c r="DM84" s="45">
        <f>94996.77-3200.09</f>
        <v>91796.680000000008</v>
      </c>
      <c r="DN84" s="45"/>
      <c r="DO84" s="45"/>
      <c r="DP84" s="46">
        <f>DR84</f>
        <v>101859.35</v>
      </c>
      <c r="DQ84" s="45"/>
      <c r="DR84" s="45">
        <f>105059.44-3200.09</f>
        <v>101859.35</v>
      </c>
      <c r="DS84" s="45"/>
      <c r="DT84" s="45"/>
      <c r="DU84" s="50"/>
    </row>
    <row r="85" spans="1:125" s="37" customFormat="1" ht="84" x14ac:dyDescent="0.2">
      <c r="A85" s="26" t="s">
        <v>342</v>
      </c>
      <c r="B85" s="26" t="s">
        <v>343</v>
      </c>
      <c r="C85" s="27" t="s">
        <v>344</v>
      </c>
      <c r="D85" s="71" t="s">
        <v>168</v>
      </c>
      <c r="E85" s="71" t="s">
        <v>168</v>
      </c>
      <c r="F85" s="71" t="s">
        <v>168</v>
      </c>
      <c r="G85" s="71" t="s">
        <v>168</v>
      </c>
      <c r="H85" s="71" t="s">
        <v>168</v>
      </c>
      <c r="I85" s="71" t="s">
        <v>168</v>
      </c>
      <c r="J85" s="71" t="s">
        <v>168</v>
      </c>
      <c r="K85" s="71" t="s">
        <v>168</v>
      </c>
      <c r="L85" s="71" t="s">
        <v>168</v>
      </c>
      <c r="M85" s="71" t="s">
        <v>168</v>
      </c>
      <c r="N85" s="71" t="s">
        <v>168</v>
      </c>
      <c r="O85" s="71" t="s">
        <v>168</v>
      </c>
      <c r="P85" s="71" t="s">
        <v>168</v>
      </c>
      <c r="Q85" s="71" t="s">
        <v>168</v>
      </c>
      <c r="R85" s="71" t="s">
        <v>168</v>
      </c>
      <c r="S85" s="71" t="s">
        <v>168</v>
      </c>
      <c r="T85" s="71" t="s">
        <v>168</v>
      </c>
      <c r="U85" s="71" t="s">
        <v>168</v>
      </c>
      <c r="V85" s="71" t="s">
        <v>168</v>
      </c>
      <c r="W85" s="71" t="s">
        <v>168</v>
      </c>
      <c r="X85" s="71" t="s">
        <v>168</v>
      </c>
      <c r="Y85" s="71" t="s">
        <v>168</v>
      </c>
      <c r="Z85" s="71" t="s">
        <v>168</v>
      </c>
      <c r="AA85" s="71" t="s">
        <v>168</v>
      </c>
      <c r="AB85" s="71" t="s">
        <v>168</v>
      </c>
      <c r="AC85" s="71" t="s">
        <v>168</v>
      </c>
      <c r="AD85" s="71" t="s">
        <v>168</v>
      </c>
      <c r="AE85" s="71" t="s">
        <v>168</v>
      </c>
      <c r="AF85" s="71" t="s">
        <v>168</v>
      </c>
      <c r="AG85" s="71" t="s">
        <v>168</v>
      </c>
      <c r="AH85" s="82" t="s">
        <v>168</v>
      </c>
      <c r="AI85" s="30">
        <f>AI86+AI87+AI89</f>
        <v>325578.68</v>
      </c>
      <c r="AJ85" s="31">
        <f t="shared" ref="AJ85:AR85" si="525">AJ86+AJ87+AJ89</f>
        <v>325578.68</v>
      </c>
      <c r="AK85" s="31">
        <f t="shared" si="525"/>
        <v>0</v>
      </c>
      <c r="AL85" s="31">
        <f t="shared" si="525"/>
        <v>0</v>
      </c>
      <c r="AM85" s="31">
        <f t="shared" si="525"/>
        <v>153650.82</v>
      </c>
      <c r="AN85" s="31">
        <f t="shared" si="525"/>
        <v>153650.82</v>
      </c>
      <c r="AO85" s="31">
        <f t="shared" si="525"/>
        <v>1500</v>
      </c>
      <c r="AP85" s="31">
        <f t="shared" si="525"/>
        <v>1500</v>
      </c>
      <c r="AQ85" s="31">
        <f t="shared" si="525"/>
        <v>170427.86</v>
      </c>
      <c r="AR85" s="31">
        <f t="shared" si="525"/>
        <v>170427.86</v>
      </c>
      <c r="AS85" s="31">
        <f>AS86+AS87+AS89</f>
        <v>464045.44999999995</v>
      </c>
      <c r="AT85" s="31">
        <f t="shared" ref="AT85" si="526">AT86+AT87+AT89</f>
        <v>0</v>
      </c>
      <c r="AU85" s="31">
        <f>AU86+AU87+AU89</f>
        <v>178193.05</v>
      </c>
      <c r="AV85" s="31">
        <f t="shared" ref="AV85" si="527">AV86+AV87+AV89</f>
        <v>0</v>
      </c>
      <c r="AW85" s="31">
        <f t="shared" ref="AW85" si="528">AW86+AW87+AW89</f>
        <v>285852.39999999997</v>
      </c>
      <c r="AX85" s="31">
        <f t="shared" ref="AX85" si="529">AX86+AX87+AX89</f>
        <v>604124</v>
      </c>
      <c r="AY85" s="31">
        <f t="shared" ref="AY85" si="530">AY86+AY87+AY89</f>
        <v>0</v>
      </c>
      <c r="AZ85" s="31">
        <f t="shared" ref="AZ85" si="531">AZ86+AZ87+AZ89</f>
        <v>174084.5</v>
      </c>
      <c r="BA85" s="31">
        <f t="shared" ref="BA85" si="532">BA86+BA87+BA89</f>
        <v>430039.5</v>
      </c>
      <c r="BB85" s="31">
        <f t="shared" ref="BB85" si="533">BB86+BB87+BB89</f>
        <v>0</v>
      </c>
      <c r="BC85" s="31">
        <f t="shared" ref="BC85" si="534">BC86+BC87+BC89</f>
        <v>152523.9</v>
      </c>
      <c r="BD85" s="31">
        <f t="shared" ref="BD85" si="535">BD86+BD87+BD89</f>
        <v>0</v>
      </c>
      <c r="BE85" s="31">
        <f t="shared" ref="BE85" si="536">BE86+BE87+BE89</f>
        <v>152523.9</v>
      </c>
      <c r="BF85" s="31">
        <f t="shared" ref="BF85" si="537">BF86+BF87+BF89</f>
        <v>0</v>
      </c>
      <c r="BG85" s="31">
        <f t="shared" ref="BG85" si="538">BG86+BG87+BG89</f>
        <v>0</v>
      </c>
      <c r="BH85" s="31">
        <f t="shared" ref="BH85" si="539">BH86+BH87+BH89</f>
        <v>152102.39999999999</v>
      </c>
      <c r="BI85" s="31">
        <f t="shared" ref="BI85" si="540">BI86+BI87+BI89</f>
        <v>0</v>
      </c>
      <c r="BJ85" s="31">
        <f t="shared" ref="BJ85" si="541">BJ86+BJ87+BJ89</f>
        <v>151042.4</v>
      </c>
      <c r="BK85" s="31">
        <f t="shared" ref="BK85" si="542">BK86+BK87+BK89</f>
        <v>0</v>
      </c>
      <c r="BL85" s="32">
        <f t="shared" ref="BL85" si="543">BL86+BL87+BL89</f>
        <v>1060</v>
      </c>
      <c r="BM85" s="30">
        <f>BM86+BM87+BM89</f>
        <v>325578.68</v>
      </c>
      <c r="BN85" s="31">
        <f t="shared" ref="BN85:BV85" si="544">BN86+BN87+BN89</f>
        <v>325578.68</v>
      </c>
      <c r="BO85" s="31">
        <f t="shared" si="544"/>
        <v>0</v>
      </c>
      <c r="BP85" s="31">
        <f t="shared" si="544"/>
        <v>0</v>
      </c>
      <c r="BQ85" s="31">
        <f t="shared" si="544"/>
        <v>153650.82</v>
      </c>
      <c r="BR85" s="31">
        <f t="shared" si="544"/>
        <v>153650.82</v>
      </c>
      <c r="BS85" s="31">
        <f t="shared" si="544"/>
        <v>1500</v>
      </c>
      <c r="BT85" s="31">
        <f t="shared" si="544"/>
        <v>1500</v>
      </c>
      <c r="BU85" s="31">
        <f t="shared" si="544"/>
        <v>170427.86</v>
      </c>
      <c r="BV85" s="32">
        <f t="shared" si="544"/>
        <v>170427.86</v>
      </c>
      <c r="BW85" s="31">
        <f>BW86+BW87+BW89</f>
        <v>399479.37</v>
      </c>
      <c r="BX85" s="31">
        <f t="shared" ref="BX85" si="545">BX86+BX87+BX89</f>
        <v>0</v>
      </c>
      <c r="BY85" s="31">
        <f>BY86+BY87+BY89</f>
        <v>177396.29</v>
      </c>
      <c r="BZ85" s="31">
        <f t="shared" ref="BZ85:CA85" si="546">BZ86+BZ87+BZ89</f>
        <v>0</v>
      </c>
      <c r="CA85" s="31">
        <f t="shared" si="546"/>
        <v>222083.08</v>
      </c>
      <c r="CB85" s="31">
        <f t="shared" ref="CB85:CP85" si="547">CB86+CB87+CB89</f>
        <v>125389.15</v>
      </c>
      <c r="CC85" s="31">
        <f t="shared" si="547"/>
        <v>0</v>
      </c>
      <c r="CD85" s="31">
        <f t="shared" si="547"/>
        <v>124329.15</v>
      </c>
      <c r="CE85" s="31">
        <f t="shared" si="547"/>
        <v>0</v>
      </c>
      <c r="CF85" s="31">
        <f t="shared" si="547"/>
        <v>1060</v>
      </c>
      <c r="CG85" s="31">
        <f t="shared" si="547"/>
        <v>323191.09999999998</v>
      </c>
      <c r="CH85" s="31">
        <f t="shared" si="547"/>
        <v>0</v>
      </c>
      <c r="CI85" s="31">
        <f t="shared" si="547"/>
        <v>122060.62</v>
      </c>
      <c r="CJ85" s="31">
        <f t="shared" si="547"/>
        <v>0</v>
      </c>
      <c r="CK85" s="31">
        <f t="shared" si="547"/>
        <v>201130.48</v>
      </c>
      <c r="CL85" s="31">
        <f t="shared" si="547"/>
        <v>123120.62</v>
      </c>
      <c r="CM85" s="31">
        <f t="shared" si="547"/>
        <v>0</v>
      </c>
      <c r="CN85" s="31">
        <f t="shared" si="547"/>
        <v>122060.62</v>
      </c>
      <c r="CO85" s="31">
        <f t="shared" si="547"/>
        <v>0</v>
      </c>
      <c r="CP85" s="32">
        <f t="shared" si="547"/>
        <v>1060</v>
      </c>
      <c r="CQ85" s="33">
        <v>325578.68</v>
      </c>
      <c r="CR85" s="34">
        <v>0</v>
      </c>
      <c r="CS85" s="34">
        <v>153650.82</v>
      </c>
      <c r="CT85" s="34">
        <v>1500</v>
      </c>
      <c r="CU85" s="35">
        <v>170427.86</v>
      </c>
      <c r="CV85" s="30">
        <f>CV86+CV87+CV89</f>
        <v>399479.37</v>
      </c>
      <c r="CW85" s="31">
        <f t="shared" ref="CW85" si="548">CW86+CW87+CW89</f>
        <v>0</v>
      </c>
      <c r="CX85" s="31">
        <f>CX86+CX87+CX89</f>
        <v>177396.29</v>
      </c>
      <c r="CY85" s="31">
        <f t="shared" ref="CY85:DE85" si="549">CY86+CY87+CY89</f>
        <v>0</v>
      </c>
      <c r="CZ85" s="32">
        <f t="shared" si="549"/>
        <v>222083.08</v>
      </c>
      <c r="DA85" s="30">
        <f t="shared" si="549"/>
        <v>125389.15</v>
      </c>
      <c r="DB85" s="31">
        <f t="shared" si="549"/>
        <v>0</v>
      </c>
      <c r="DC85" s="31">
        <f t="shared" si="549"/>
        <v>124329.15</v>
      </c>
      <c r="DD85" s="31">
        <f t="shared" si="549"/>
        <v>0</v>
      </c>
      <c r="DE85" s="32">
        <f t="shared" si="549"/>
        <v>1060</v>
      </c>
      <c r="DF85" s="33">
        <v>325578.68</v>
      </c>
      <c r="DG85" s="34">
        <v>0</v>
      </c>
      <c r="DH85" s="34">
        <v>153650.82</v>
      </c>
      <c r="DI85" s="31">
        <f t="shared" ref="DI85" si="550">DI86+DI87+DI89</f>
        <v>1500</v>
      </c>
      <c r="DJ85" s="34">
        <v>170427.86</v>
      </c>
      <c r="DK85" s="31">
        <f>DK86+DK87+DK89</f>
        <v>399479.37</v>
      </c>
      <c r="DL85" s="31">
        <f t="shared" ref="DL85" si="551">DL86+DL87+DL89</f>
        <v>0</v>
      </c>
      <c r="DM85" s="31">
        <f>DM86+DM87+DM89</f>
        <v>177396.29</v>
      </c>
      <c r="DN85" s="31">
        <f t="shared" ref="DN85:DT85" si="552">DN86+DN87+DN89</f>
        <v>0</v>
      </c>
      <c r="DO85" s="31">
        <f t="shared" si="552"/>
        <v>222083.08</v>
      </c>
      <c r="DP85" s="31">
        <f t="shared" si="552"/>
        <v>125389.15</v>
      </c>
      <c r="DQ85" s="31">
        <f t="shared" si="552"/>
        <v>0</v>
      </c>
      <c r="DR85" s="31">
        <f t="shared" si="552"/>
        <v>124329.15</v>
      </c>
      <c r="DS85" s="31">
        <f t="shared" si="552"/>
        <v>0</v>
      </c>
      <c r="DT85" s="31">
        <f t="shared" si="552"/>
        <v>1060</v>
      </c>
      <c r="DU85" s="36" t="s">
        <v>0</v>
      </c>
    </row>
    <row r="86" spans="1:125" customFormat="1" ht="281.25" x14ac:dyDescent="0.2">
      <c r="A86" s="38" t="s">
        <v>345</v>
      </c>
      <c r="B86" s="38" t="s">
        <v>346</v>
      </c>
      <c r="C86" s="39" t="s">
        <v>347</v>
      </c>
      <c r="D86" s="40" t="s">
        <v>427</v>
      </c>
      <c r="E86" s="40" t="s">
        <v>0</v>
      </c>
      <c r="F86" s="40" t="s">
        <v>0</v>
      </c>
      <c r="G86" s="40" t="s">
        <v>0</v>
      </c>
      <c r="H86" s="40" t="s">
        <v>0</v>
      </c>
      <c r="I86" s="40" t="s">
        <v>0</v>
      </c>
      <c r="J86" s="40" t="s">
        <v>0</v>
      </c>
      <c r="K86" s="40" t="s">
        <v>0</v>
      </c>
      <c r="L86" s="40" t="s">
        <v>0</v>
      </c>
      <c r="M86" s="40" t="s">
        <v>0</v>
      </c>
      <c r="N86" s="40" t="s">
        <v>0</v>
      </c>
      <c r="O86" s="40" t="s">
        <v>0</v>
      </c>
      <c r="P86" s="40" t="s">
        <v>0</v>
      </c>
      <c r="Q86" s="40" t="s">
        <v>0</v>
      </c>
      <c r="R86" s="40" t="s">
        <v>0</v>
      </c>
      <c r="S86" s="40" t="s">
        <v>0</v>
      </c>
      <c r="T86" s="40" t="s">
        <v>0</v>
      </c>
      <c r="U86" s="40" t="s">
        <v>0</v>
      </c>
      <c r="V86" s="40" t="s">
        <v>0</v>
      </c>
      <c r="W86" s="40" t="s">
        <v>0</v>
      </c>
      <c r="X86" s="40" t="s">
        <v>522</v>
      </c>
      <c r="Y86" s="40" t="s">
        <v>0</v>
      </c>
      <c r="Z86" s="40" t="s">
        <v>0</v>
      </c>
      <c r="AA86" s="40" t="s">
        <v>0</v>
      </c>
      <c r="AB86" s="40" t="s">
        <v>0</v>
      </c>
      <c r="AC86" s="40" t="s">
        <v>0</v>
      </c>
      <c r="AD86" s="40" t="s">
        <v>513</v>
      </c>
      <c r="AE86" s="41"/>
      <c r="AF86" s="41"/>
      <c r="AG86" s="42" t="s">
        <v>0</v>
      </c>
      <c r="AH86" s="43" t="s">
        <v>348</v>
      </c>
      <c r="AI86" s="44">
        <v>150359.19</v>
      </c>
      <c r="AJ86" s="45">
        <v>150359.19</v>
      </c>
      <c r="AK86" s="45">
        <v>0</v>
      </c>
      <c r="AL86" s="52">
        <v>0</v>
      </c>
      <c r="AM86" s="45">
        <v>150359.19</v>
      </c>
      <c r="AN86" s="45">
        <v>150359.19</v>
      </c>
      <c r="AO86" s="45">
        <v>0</v>
      </c>
      <c r="AP86" s="45">
        <v>0</v>
      </c>
      <c r="AQ86" s="31">
        <v>0</v>
      </c>
      <c r="AR86" s="31">
        <v>0</v>
      </c>
      <c r="AS86" s="53">
        <v>174461.75</v>
      </c>
      <c r="AT86" s="45">
        <v>0</v>
      </c>
      <c r="AU86" s="45">
        <f>AS86</f>
        <v>174461.75</v>
      </c>
      <c r="AV86" s="45">
        <v>0</v>
      </c>
      <c r="AW86" s="45">
        <v>0</v>
      </c>
      <c r="AX86" s="53">
        <f>SUM(AY86:BB86)</f>
        <v>174084.5</v>
      </c>
      <c r="AY86" s="45">
        <v>0</v>
      </c>
      <c r="AZ86" s="45">
        <v>174084.5</v>
      </c>
      <c r="BA86" s="45">
        <v>0</v>
      </c>
      <c r="BB86" s="45">
        <v>0</v>
      </c>
      <c r="BC86" s="53">
        <f>SUM(BD86:BG86)</f>
        <v>152523.9</v>
      </c>
      <c r="BD86" s="45">
        <v>0</v>
      </c>
      <c r="BE86" s="45">
        <v>152523.9</v>
      </c>
      <c r="BF86" s="45">
        <v>0</v>
      </c>
      <c r="BG86" s="45">
        <v>0</v>
      </c>
      <c r="BH86" s="53">
        <f>SUM(BI86:BL86)</f>
        <v>151042.4</v>
      </c>
      <c r="BI86" s="45">
        <v>0</v>
      </c>
      <c r="BJ86" s="45">
        <v>151042.4</v>
      </c>
      <c r="BK86" s="45">
        <v>0</v>
      </c>
      <c r="BL86" s="49">
        <v>0</v>
      </c>
      <c r="BM86" s="44">
        <v>150359.19</v>
      </c>
      <c r="BN86" s="45">
        <v>150359.19</v>
      </c>
      <c r="BO86" s="45">
        <v>0</v>
      </c>
      <c r="BP86" s="52">
        <v>0</v>
      </c>
      <c r="BQ86" s="45">
        <v>150359.19</v>
      </c>
      <c r="BR86" s="45">
        <v>150359.19</v>
      </c>
      <c r="BS86" s="45">
        <v>0</v>
      </c>
      <c r="BT86" s="45">
        <v>0</v>
      </c>
      <c r="BU86" s="31">
        <v>0</v>
      </c>
      <c r="BV86" s="32">
        <v>0</v>
      </c>
      <c r="BW86" s="53">
        <v>174461.75</v>
      </c>
      <c r="BX86" s="45">
        <v>0</v>
      </c>
      <c r="BY86" s="45">
        <f>BW86</f>
        <v>174461.75</v>
      </c>
      <c r="BZ86" s="45">
        <v>0</v>
      </c>
      <c r="CA86" s="45">
        <v>0</v>
      </c>
      <c r="CB86" s="53">
        <v>124329.15</v>
      </c>
      <c r="CC86" s="45">
        <v>0</v>
      </c>
      <c r="CD86" s="45">
        <f>CB86</f>
        <v>124329.15</v>
      </c>
      <c r="CE86" s="45">
        <v>0</v>
      </c>
      <c r="CF86" s="45">
        <v>0</v>
      </c>
      <c r="CG86" s="53">
        <v>122060.62</v>
      </c>
      <c r="CH86" s="45">
        <v>0</v>
      </c>
      <c r="CI86" s="45">
        <f>CG86</f>
        <v>122060.62</v>
      </c>
      <c r="CJ86" s="45">
        <v>0</v>
      </c>
      <c r="CK86" s="45">
        <v>0</v>
      </c>
      <c r="CL86" s="53">
        <v>122060.62</v>
      </c>
      <c r="CM86" s="45">
        <v>0</v>
      </c>
      <c r="CN86" s="45">
        <f>CL86</f>
        <v>122060.62</v>
      </c>
      <c r="CO86" s="45">
        <v>0</v>
      </c>
      <c r="CP86" s="49">
        <v>0</v>
      </c>
      <c r="CQ86" s="48">
        <v>150359.19</v>
      </c>
      <c r="CR86" s="46">
        <v>0</v>
      </c>
      <c r="CS86" s="46">
        <v>150359.19</v>
      </c>
      <c r="CT86" s="46">
        <v>0</v>
      </c>
      <c r="CU86" s="35">
        <v>0</v>
      </c>
      <c r="CV86" s="54">
        <v>174461.75</v>
      </c>
      <c r="CW86" s="45">
        <v>0</v>
      </c>
      <c r="CX86" s="45">
        <f>CV86</f>
        <v>174461.75</v>
      </c>
      <c r="CY86" s="45">
        <v>0</v>
      </c>
      <c r="CZ86" s="49">
        <v>0</v>
      </c>
      <c r="DA86" s="54">
        <v>124329.15</v>
      </c>
      <c r="DB86" s="45">
        <v>0</v>
      </c>
      <c r="DC86" s="45">
        <f>DA86</f>
        <v>124329.15</v>
      </c>
      <c r="DD86" s="45">
        <v>0</v>
      </c>
      <c r="DE86" s="49">
        <v>0</v>
      </c>
      <c r="DF86" s="48">
        <v>150359.19</v>
      </c>
      <c r="DG86" s="46">
        <v>0</v>
      </c>
      <c r="DH86" s="46">
        <v>150359.19</v>
      </c>
      <c r="DI86" s="45">
        <v>0</v>
      </c>
      <c r="DJ86" s="34">
        <v>0</v>
      </c>
      <c r="DK86" s="53">
        <v>174461.75</v>
      </c>
      <c r="DL86" s="45">
        <v>0</v>
      </c>
      <c r="DM86" s="45">
        <f>DK86</f>
        <v>174461.75</v>
      </c>
      <c r="DN86" s="45">
        <v>0</v>
      </c>
      <c r="DO86" s="45">
        <v>0</v>
      </c>
      <c r="DP86" s="53">
        <v>124329.15</v>
      </c>
      <c r="DQ86" s="45">
        <v>0</v>
      </c>
      <c r="DR86" s="45">
        <f>DP86</f>
        <v>124329.15</v>
      </c>
      <c r="DS86" s="45">
        <v>0</v>
      </c>
      <c r="DT86" s="45">
        <v>0</v>
      </c>
      <c r="DU86" s="50" t="s">
        <v>349</v>
      </c>
    </row>
    <row r="87" spans="1:125" s="37" customFormat="1" ht="126" x14ac:dyDescent="0.2">
      <c r="A87" s="26" t="s">
        <v>350</v>
      </c>
      <c r="B87" s="26" t="s">
        <v>351</v>
      </c>
      <c r="C87" s="27" t="s">
        <v>352</v>
      </c>
      <c r="D87" s="71" t="s">
        <v>168</v>
      </c>
      <c r="E87" s="71" t="s">
        <v>168</v>
      </c>
      <c r="F87" s="71" t="s">
        <v>168</v>
      </c>
      <c r="G87" s="71" t="s">
        <v>168</v>
      </c>
      <c r="H87" s="71" t="s">
        <v>168</v>
      </c>
      <c r="I87" s="71" t="s">
        <v>168</v>
      </c>
      <c r="J87" s="71" t="s">
        <v>168</v>
      </c>
      <c r="K87" s="71" t="s">
        <v>168</v>
      </c>
      <c r="L87" s="71" t="s">
        <v>168</v>
      </c>
      <c r="M87" s="71" t="s">
        <v>168</v>
      </c>
      <c r="N87" s="71" t="s">
        <v>168</v>
      </c>
      <c r="O87" s="71" t="s">
        <v>168</v>
      </c>
      <c r="P87" s="71" t="s">
        <v>168</v>
      </c>
      <c r="Q87" s="71" t="s">
        <v>168</v>
      </c>
      <c r="R87" s="71" t="s">
        <v>168</v>
      </c>
      <c r="S87" s="71" t="s">
        <v>168</v>
      </c>
      <c r="T87" s="71" t="s">
        <v>168</v>
      </c>
      <c r="U87" s="71" t="s">
        <v>168</v>
      </c>
      <c r="V87" s="71" t="s">
        <v>168</v>
      </c>
      <c r="W87" s="71" t="s">
        <v>168</v>
      </c>
      <c r="X87" s="71" t="s">
        <v>168</v>
      </c>
      <c r="Y87" s="71" t="s">
        <v>168</v>
      </c>
      <c r="Z87" s="71" t="s">
        <v>168</v>
      </c>
      <c r="AA87" s="71" t="s">
        <v>168</v>
      </c>
      <c r="AB87" s="71" t="s">
        <v>168</v>
      </c>
      <c r="AC87" s="71" t="s">
        <v>168</v>
      </c>
      <c r="AD87" s="71" t="s">
        <v>168</v>
      </c>
      <c r="AE87" s="71" t="s">
        <v>168</v>
      </c>
      <c r="AF87" s="71" t="s">
        <v>168</v>
      </c>
      <c r="AG87" s="71" t="s">
        <v>168</v>
      </c>
      <c r="AH87" s="82" t="s">
        <v>168</v>
      </c>
      <c r="AI87" s="30">
        <f>AI88</f>
        <v>3152.21</v>
      </c>
      <c r="AJ87" s="31">
        <f t="shared" ref="AJ87:CV87" si="553">AJ88</f>
        <v>3152.21</v>
      </c>
      <c r="AK87" s="31">
        <f t="shared" si="553"/>
        <v>0</v>
      </c>
      <c r="AL87" s="31">
        <f t="shared" si="553"/>
        <v>0</v>
      </c>
      <c r="AM87" s="31">
        <f t="shared" si="553"/>
        <v>3152.21</v>
      </c>
      <c r="AN87" s="31">
        <f t="shared" si="553"/>
        <v>3152.21</v>
      </c>
      <c r="AO87" s="31">
        <f t="shared" si="553"/>
        <v>0</v>
      </c>
      <c r="AP87" s="31">
        <f t="shared" si="553"/>
        <v>0</v>
      </c>
      <c r="AQ87" s="31">
        <f t="shared" si="553"/>
        <v>0</v>
      </c>
      <c r="AR87" s="31">
        <f t="shared" si="553"/>
        <v>0</v>
      </c>
      <c r="AS87" s="31">
        <f t="shared" si="553"/>
        <v>3731.3</v>
      </c>
      <c r="AT87" s="31">
        <f t="shared" si="553"/>
        <v>0</v>
      </c>
      <c r="AU87" s="31">
        <f t="shared" si="553"/>
        <v>3731.3</v>
      </c>
      <c r="AV87" s="31">
        <f t="shared" si="553"/>
        <v>0</v>
      </c>
      <c r="AW87" s="31">
        <f t="shared" si="553"/>
        <v>0</v>
      </c>
      <c r="AX87" s="31">
        <f t="shared" si="553"/>
        <v>0</v>
      </c>
      <c r="AY87" s="31">
        <f t="shared" si="553"/>
        <v>0</v>
      </c>
      <c r="AZ87" s="31">
        <f t="shared" si="553"/>
        <v>0</v>
      </c>
      <c r="BA87" s="31">
        <f t="shared" si="553"/>
        <v>0</v>
      </c>
      <c r="BB87" s="31">
        <f t="shared" si="553"/>
        <v>0</v>
      </c>
      <c r="BC87" s="31">
        <f t="shared" si="553"/>
        <v>0</v>
      </c>
      <c r="BD87" s="31">
        <f t="shared" si="553"/>
        <v>0</v>
      </c>
      <c r="BE87" s="31">
        <f t="shared" si="553"/>
        <v>0</v>
      </c>
      <c r="BF87" s="31">
        <f t="shared" si="553"/>
        <v>0</v>
      </c>
      <c r="BG87" s="31">
        <f t="shared" si="553"/>
        <v>0</v>
      </c>
      <c r="BH87" s="31">
        <f t="shared" si="553"/>
        <v>0</v>
      </c>
      <c r="BI87" s="31">
        <f t="shared" si="553"/>
        <v>0</v>
      </c>
      <c r="BJ87" s="31">
        <f t="shared" si="553"/>
        <v>0</v>
      </c>
      <c r="BK87" s="31">
        <f t="shared" si="553"/>
        <v>0</v>
      </c>
      <c r="BL87" s="32">
        <f t="shared" si="553"/>
        <v>0</v>
      </c>
      <c r="BM87" s="30">
        <f>BM88</f>
        <v>3152.21</v>
      </c>
      <c r="BN87" s="31">
        <f t="shared" si="553"/>
        <v>3152.21</v>
      </c>
      <c r="BO87" s="31">
        <f t="shared" si="553"/>
        <v>0</v>
      </c>
      <c r="BP87" s="31">
        <f t="shared" si="553"/>
        <v>0</v>
      </c>
      <c r="BQ87" s="31">
        <f t="shared" si="553"/>
        <v>3152.21</v>
      </c>
      <c r="BR87" s="31">
        <f t="shared" si="553"/>
        <v>3152.21</v>
      </c>
      <c r="BS87" s="31">
        <f t="shared" si="553"/>
        <v>0</v>
      </c>
      <c r="BT87" s="31">
        <f t="shared" si="553"/>
        <v>0</v>
      </c>
      <c r="BU87" s="31">
        <f t="shared" si="553"/>
        <v>0</v>
      </c>
      <c r="BV87" s="32">
        <f t="shared" si="553"/>
        <v>0</v>
      </c>
      <c r="BW87" s="31">
        <f t="shared" si="553"/>
        <v>2934.54</v>
      </c>
      <c r="BX87" s="31">
        <f t="shared" si="553"/>
        <v>0</v>
      </c>
      <c r="BY87" s="31">
        <f t="shared" si="553"/>
        <v>2934.54</v>
      </c>
      <c r="BZ87" s="31">
        <f t="shared" si="553"/>
        <v>0</v>
      </c>
      <c r="CA87" s="31">
        <f t="shared" si="553"/>
        <v>0</v>
      </c>
      <c r="CB87" s="31">
        <f t="shared" si="553"/>
        <v>0</v>
      </c>
      <c r="CC87" s="31">
        <f t="shared" si="553"/>
        <v>0</v>
      </c>
      <c r="CD87" s="31">
        <f t="shared" si="553"/>
        <v>0</v>
      </c>
      <c r="CE87" s="31">
        <f t="shared" si="553"/>
        <v>0</v>
      </c>
      <c r="CF87" s="31">
        <f t="shared" si="553"/>
        <v>0</v>
      </c>
      <c r="CG87" s="31">
        <f t="shared" si="553"/>
        <v>0</v>
      </c>
      <c r="CH87" s="31">
        <f t="shared" si="553"/>
        <v>0</v>
      </c>
      <c r="CI87" s="31">
        <f t="shared" si="553"/>
        <v>0</v>
      </c>
      <c r="CJ87" s="31">
        <f t="shared" si="553"/>
        <v>0</v>
      </c>
      <c r="CK87" s="31">
        <f t="shared" si="553"/>
        <v>0</v>
      </c>
      <c r="CL87" s="31">
        <f t="shared" si="553"/>
        <v>0</v>
      </c>
      <c r="CM87" s="31">
        <f t="shared" si="553"/>
        <v>0</v>
      </c>
      <c r="CN87" s="31">
        <f t="shared" si="553"/>
        <v>0</v>
      </c>
      <c r="CO87" s="31">
        <f t="shared" si="553"/>
        <v>0</v>
      </c>
      <c r="CP87" s="32">
        <f t="shared" si="553"/>
        <v>0</v>
      </c>
      <c r="CQ87" s="33">
        <v>3152.21</v>
      </c>
      <c r="CR87" s="34">
        <v>0</v>
      </c>
      <c r="CS87" s="34">
        <v>3152.21</v>
      </c>
      <c r="CT87" s="34">
        <v>0</v>
      </c>
      <c r="CU87" s="35">
        <v>0</v>
      </c>
      <c r="CV87" s="30">
        <f t="shared" si="553"/>
        <v>2934.54</v>
      </c>
      <c r="CW87" s="31">
        <f t="shared" ref="CW87:DE87" si="554">CW88</f>
        <v>0</v>
      </c>
      <c r="CX87" s="31">
        <f t="shared" si="554"/>
        <v>2934.54</v>
      </c>
      <c r="CY87" s="31">
        <f t="shared" si="554"/>
        <v>0</v>
      </c>
      <c r="CZ87" s="32">
        <f t="shared" si="554"/>
        <v>0</v>
      </c>
      <c r="DA87" s="30">
        <f t="shared" si="554"/>
        <v>0</v>
      </c>
      <c r="DB87" s="31">
        <f t="shared" si="554"/>
        <v>0</v>
      </c>
      <c r="DC87" s="31">
        <f t="shared" si="554"/>
        <v>0</v>
      </c>
      <c r="DD87" s="31">
        <f t="shared" si="554"/>
        <v>0</v>
      </c>
      <c r="DE87" s="32">
        <f t="shared" si="554"/>
        <v>0</v>
      </c>
      <c r="DF87" s="33">
        <v>3152.21</v>
      </c>
      <c r="DG87" s="34">
        <v>0</v>
      </c>
      <c r="DH87" s="34">
        <v>3152.21</v>
      </c>
      <c r="DI87" s="31">
        <f t="shared" ref="DI87" si="555">DI88</f>
        <v>0</v>
      </c>
      <c r="DJ87" s="34">
        <v>0</v>
      </c>
      <c r="DK87" s="31">
        <f t="shared" ref="DK87:DT87" si="556">DK88</f>
        <v>2934.54</v>
      </c>
      <c r="DL87" s="31">
        <f t="shared" si="556"/>
        <v>0</v>
      </c>
      <c r="DM87" s="31">
        <f t="shared" si="556"/>
        <v>2934.54</v>
      </c>
      <c r="DN87" s="31">
        <f t="shared" si="556"/>
        <v>0</v>
      </c>
      <c r="DO87" s="31">
        <f t="shared" si="556"/>
        <v>0</v>
      </c>
      <c r="DP87" s="31">
        <f t="shared" si="556"/>
        <v>0</v>
      </c>
      <c r="DQ87" s="31">
        <f t="shared" si="556"/>
        <v>0</v>
      </c>
      <c r="DR87" s="31">
        <f t="shared" si="556"/>
        <v>0</v>
      </c>
      <c r="DS87" s="31">
        <f t="shared" si="556"/>
        <v>0</v>
      </c>
      <c r="DT87" s="31">
        <f t="shared" si="556"/>
        <v>0</v>
      </c>
      <c r="DU87" s="36" t="s">
        <v>0</v>
      </c>
    </row>
    <row r="88" spans="1:125" customFormat="1" ht="348.75" x14ac:dyDescent="0.2">
      <c r="A88" s="38" t="s">
        <v>353</v>
      </c>
      <c r="B88" s="38" t="s">
        <v>354</v>
      </c>
      <c r="C88" s="39" t="s">
        <v>355</v>
      </c>
      <c r="D88" s="40" t="s">
        <v>427</v>
      </c>
      <c r="E88" s="40" t="s">
        <v>0</v>
      </c>
      <c r="F88" s="40" t="s">
        <v>0</v>
      </c>
      <c r="G88" s="40" t="s">
        <v>0</v>
      </c>
      <c r="H88" s="40" t="s">
        <v>0</v>
      </c>
      <c r="I88" s="40" t="s">
        <v>0</v>
      </c>
      <c r="J88" s="40" t="s">
        <v>0</v>
      </c>
      <c r="K88" s="40" t="s">
        <v>0</v>
      </c>
      <c r="L88" s="40" t="s">
        <v>0</v>
      </c>
      <c r="M88" s="40" t="s">
        <v>0</v>
      </c>
      <c r="N88" s="40" t="s">
        <v>0</v>
      </c>
      <c r="O88" s="40" t="s">
        <v>0</v>
      </c>
      <c r="P88" s="40" t="s">
        <v>0</v>
      </c>
      <c r="Q88" s="40" t="s">
        <v>0</v>
      </c>
      <c r="R88" s="40" t="s">
        <v>0</v>
      </c>
      <c r="S88" s="40" t="s">
        <v>0</v>
      </c>
      <c r="T88" s="40" t="s">
        <v>0</v>
      </c>
      <c r="U88" s="40" t="s">
        <v>0</v>
      </c>
      <c r="V88" s="40" t="s">
        <v>0</v>
      </c>
      <c r="W88" s="40" t="s">
        <v>0</v>
      </c>
      <c r="X88" s="40" t="s">
        <v>523</v>
      </c>
      <c r="Y88" s="40" t="s">
        <v>0</v>
      </c>
      <c r="Z88" s="40" t="s">
        <v>0</v>
      </c>
      <c r="AA88" s="40" t="s">
        <v>0</v>
      </c>
      <c r="AB88" s="40" t="s">
        <v>0</v>
      </c>
      <c r="AC88" s="40" t="s">
        <v>0</v>
      </c>
      <c r="AD88" s="40" t="s">
        <v>514</v>
      </c>
      <c r="AE88" s="41"/>
      <c r="AF88" s="41"/>
      <c r="AG88" s="42" t="s">
        <v>0</v>
      </c>
      <c r="AH88" s="43" t="s">
        <v>224</v>
      </c>
      <c r="AI88" s="44">
        <v>3152.21</v>
      </c>
      <c r="AJ88" s="45">
        <v>3152.21</v>
      </c>
      <c r="AK88" s="45">
        <v>0</v>
      </c>
      <c r="AL88" s="52">
        <v>0</v>
      </c>
      <c r="AM88" s="45">
        <v>3152.21</v>
      </c>
      <c r="AN88" s="45">
        <v>3152.21</v>
      </c>
      <c r="AO88" s="45">
        <v>0</v>
      </c>
      <c r="AP88" s="45">
        <v>0</v>
      </c>
      <c r="AQ88" s="45">
        <v>0</v>
      </c>
      <c r="AR88" s="45">
        <v>0</v>
      </c>
      <c r="AS88" s="53">
        <f>AU88</f>
        <v>3731.3</v>
      </c>
      <c r="AT88" s="45">
        <v>0</v>
      </c>
      <c r="AU88" s="53">
        <v>3731.3</v>
      </c>
      <c r="AV88" s="45">
        <v>0</v>
      </c>
      <c r="AW88" s="45">
        <v>0</v>
      </c>
      <c r="AX88" s="45">
        <v>0</v>
      </c>
      <c r="AY88" s="45">
        <v>0</v>
      </c>
      <c r="AZ88" s="45">
        <v>0</v>
      </c>
      <c r="BA88" s="45">
        <v>0</v>
      </c>
      <c r="BB88" s="45">
        <v>0</v>
      </c>
      <c r="BC88" s="45">
        <v>0</v>
      </c>
      <c r="BD88" s="45">
        <v>0</v>
      </c>
      <c r="BE88" s="45">
        <v>0</v>
      </c>
      <c r="BF88" s="45">
        <v>0</v>
      </c>
      <c r="BG88" s="45">
        <v>0</v>
      </c>
      <c r="BH88" s="45">
        <v>0</v>
      </c>
      <c r="BI88" s="45">
        <v>0</v>
      </c>
      <c r="BJ88" s="45">
        <v>0</v>
      </c>
      <c r="BK88" s="45">
        <v>0</v>
      </c>
      <c r="BL88" s="49">
        <v>0</v>
      </c>
      <c r="BM88" s="44">
        <v>3152.21</v>
      </c>
      <c r="BN88" s="45">
        <v>3152.21</v>
      </c>
      <c r="BO88" s="45">
        <v>0</v>
      </c>
      <c r="BP88" s="52">
        <v>0</v>
      </c>
      <c r="BQ88" s="45">
        <v>3152.21</v>
      </c>
      <c r="BR88" s="45">
        <v>3152.21</v>
      </c>
      <c r="BS88" s="45">
        <v>0</v>
      </c>
      <c r="BT88" s="45">
        <v>0</v>
      </c>
      <c r="BU88" s="45">
        <v>0</v>
      </c>
      <c r="BV88" s="49">
        <v>0</v>
      </c>
      <c r="BW88" s="53">
        <v>2934.54</v>
      </c>
      <c r="BX88" s="45">
        <v>0</v>
      </c>
      <c r="BY88" s="53">
        <v>2934.54</v>
      </c>
      <c r="BZ88" s="45">
        <v>0</v>
      </c>
      <c r="CA88" s="45">
        <v>0</v>
      </c>
      <c r="CB88" s="45">
        <v>0</v>
      </c>
      <c r="CC88" s="45">
        <v>0</v>
      </c>
      <c r="CD88" s="45">
        <v>0</v>
      </c>
      <c r="CE88" s="45">
        <v>0</v>
      </c>
      <c r="CF88" s="45">
        <v>0</v>
      </c>
      <c r="CG88" s="45">
        <v>0</v>
      </c>
      <c r="CH88" s="45">
        <v>0</v>
      </c>
      <c r="CI88" s="45">
        <v>0</v>
      </c>
      <c r="CJ88" s="45">
        <v>0</v>
      </c>
      <c r="CK88" s="45">
        <v>0</v>
      </c>
      <c r="CL88" s="45">
        <v>0</v>
      </c>
      <c r="CM88" s="45">
        <v>0</v>
      </c>
      <c r="CN88" s="45">
        <v>0</v>
      </c>
      <c r="CO88" s="45">
        <v>0</v>
      </c>
      <c r="CP88" s="49">
        <v>0</v>
      </c>
      <c r="CQ88" s="48">
        <v>3152.21</v>
      </c>
      <c r="CR88" s="46">
        <v>0</v>
      </c>
      <c r="CS88" s="46">
        <v>3152.21</v>
      </c>
      <c r="CT88" s="46">
        <v>0</v>
      </c>
      <c r="CU88" s="47">
        <v>0</v>
      </c>
      <c r="CV88" s="54">
        <v>2934.54</v>
      </c>
      <c r="CW88" s="45">
        <v>0</v>
      </c>
      <c r="CX88" s="53">
        <v>2934.54</v>
      </c>
      <c r="CY88" s="45">
        <v>0</v>
      </c>
      <c r="CZ88" s="49">
        <v>0</v>
      </c>
      <c r="DA88" s="44">
        <v>0</v>
      </c>
      <c r="DB88" s="45">
        <v>0</v>
      </c>
      <c r="DC88" s="45">
        <v>0</v>
      </c>
      <c r="DD88" s="45">
        <v>0</v>
      </c>
      <c r="DE88" s="49">
        <v>0</v>
      </c>
      <c r="DF88" s="48">
        <v>3152.21</v>
      </c>
      <c r="DG88" s="46">
        <v>0</v>
      </c>
      <c r="DH88" s="46">
        <v>3152.21</v>
      </c>
      <c r="DI88" s="45">
        <v>0</v>
      </c>
      <c r="DJ88" s="46">
        <v>0</v>
      </c>
      <c r="DK88" s="53">
        <v>2934.54</v>
      </c>
      <c r="DL88" s="45">
        <v>0</v>
      </c>
      <c r="DM88" s="53">
        <v>2934.54</v>
      </c>
      <c r="DN88" s="45">
        <v>0</v>
      </c>
      <c r="DO88" s="45">
        <v>0</v>
      </c>
      <c r="DP88" s="45">
        <v>0</v>
      </c>
      <c r="DQ88" s="45">
        <v>0</v>
      </c>
      <c r="DR88" s="45">
        <v>0</v>
      </c>
      <c r="DS88" s="45">
        <v>0</v>
      </c>
      <c r="DT88" s="45">
        <v>0</v>
      </c>
      <c r="DU88" s="50" t="s">
        <v>219</v>
      </c>
    </row>
    <row r="89" spans="1:125" s="37" customFormat="1" ht="21" x14ac:dyDescent="0.2">
      <c r="A89" s="26" t="s">
        <v>356</v>
      </c>
      <c r="B89" s="26" t="s">
        <v>357</v>
      </c>
      <c r="C89" s="27" t="s">
        <v>358</v>
      </c>
      <c r="D89" s="71" t="s">
        <v>168</v>
      </c>
      <c r="E89" s="71" t="s">
        <v>168</v>
      </c>
      <c r="F89" s="71" t="s">
        <v>168</v>
      </c>
      <c r="G89" s="71" t="s">
        <v>168</v>
      </c>
      <c r="H89" s="71" t="s">
        <v>168</v>
      </c>
      <c r="I89" s="71" t="s">
        <v>168</v>
      </c>
      <c r="J89" s="71" t="s">
        <v>168</v>
      </c>
      <c r="K89" s="71" t="s">
        <v>168</v>
      </c>
      <c r="L89" s="71" t="s">
        <v>168</v>
      </c>
      <c r="M89" s="71" t="s">
        <v>168</v>
      </c>
      <c r="N89" s="71" t="s">
        <v>168</v>
      </c>
      <c r="O89" s="71" t="s">
        <v>168</v>
      </c>
      <c r="P89" s="71" t="s">
        <v>168</v>
      </c>
      <c r="Q89" s="71" t="s">
        <v>168</v>
      </c>
      <c r="R89" s="71" t="s">
        <v>168</v>
      </c>
      <c r="S89" s="71" t="s">
        <v>168</v>
      </c>
      <c r="T89" s="71" t="s">
        <v>168</v>
      </c>
      <c r="U89" s="71" t="s">
        <v>168</v>
      </c>
      <c r="V89" s="71" t="s">
        <v>168</v>
      </c>
      <c r="W89" s="71" t="s">
        <v>168</v>
      </c>
      <c r="X89" s="71" t="s">
        <v>168</v>
      </c>
      <c r="Y89" s="71" t="s">
        <v>168</v>
      </c>
      <c r="Z89" s="71" t="s">
        <v>168</v>
      </c>
      <c r="AA89" s="71" t="s">
        <v>168</v>
      </c>
      <c r="AB89" s="71" t="s">
        <v>168</v>
      </c>
      <c r="AC89" s="71" t="s">
        <v>168</v>
      </c>
      <c r="AD89" s="71" t="s">
        <v>168</v>
      </c>
      <c r="AE89" s="28" t="s">
        <v>168</v>
      </c>
      <c r="AF89" s="28" t="s">
        <v>168</v>
      </c>
      <c r="AG89" s="28" t="s">
        <v>168</v>
      </c>
      <c r="AH89" s="29" t="s">
        <v>168</v>
      </c>
      <c r="AI89" s="30">
        <f>AI90+AI92</f>
        <v>172067.28</v>
      </c>
      <c r="AJ89" s="31">
        <f t="shared" ref="AJ89:BL89" si="557">AJ90+AJ92</f>
        <v>172067.28</v>
      </c>
      <c r="AK89" s="31">
        <f t="shared" si="557"/>
        <v>0</v>
      </c>
      <c r="AL89" s="31">
        <f t="shared" si="557"/>
        <v>0</v>
      </c>
      <c r="AM89" s="31">
        <f t="shared" si="557"/>
        <v>139.41999999999999</v>
      </c>
      <c r="AN89" s="31">
        <f t="shared" si="557"/>
        <v>139.41999999999999</v>
      </c>
      <c r="AO89" s="31">
        <f t="shared" si="557"/>
        <v>1500</v>
      </c>
      <c r="AP89" s="31">
        <f t="shared" si="557"/>
        <v>1500</v>
      </c>
      <c r="AQ89" s="31">
        <f t="shared" si="557"/>
        <v>170427.86</v>
      </c>
      <c r="AR89" s="31">
        <f t="shared" si="557"/>
        <v>170427.86</v>
      </c>
      <c r="AS89" s="31">
        <f>AS90+AS92</f>
        <v>285852.39999999997</v>
      </c>
      <c r="AT89" s="31">
        <f t="shared" si="557"/>
        <v>0</v>
      </c>
      <c r="AU89" s="31">
        <f t="shared" si="557"/>
        <v>0</v>
      </c>
      <c r="AV89" s="31">
        <f t="shared" si="557"/>
        <v>0</v>
      </c>
      <c r="AW89" s="31">
        <f t="shared" si="557"/>
        <v>285852.39999999997</v>
      </c>
      <c r="AX89" s="31">
        <f t="shared" si="557"/>
        <v>430039.5</v>
      </c>
      <c r="AY89" s="31">
        <f t="shared" si="557"/>
        <v>0</v>
      </c>
      <c r="AZ89" s="31">
        <f t="shared" si="557"/>
        <v>0</v>
      </c>
      <c r="BA89" s="31">
        <f t="shared" si="557"/>
        <v>430039.5</v>
      </c>
      <c r="BB89" s="31">
        <f t="shared" si="557"/>
        <v>0</v>
      </c>
      <c r="BC89" s="31">
        <f t="shared" si="557"/>
        <v>0</v>
      </c>
      <c r="BD89" s="31">
        <f t="shared" si="557"/>
        <v>0</v>
      </c>
      <c r="BE89" s="31">
        <f t="shared" si="557"/>
        <v>0</v>
      </c>
      <c r="BF89" s="31">
        <f t="shared" si="557"/>
        <v>0</v>
      </c>
      <c r="BG89" s="31">
        <f t="shared" si="557"/>
        <v>0</v>
      </c>
      <c r="BH89" s="31">
        <f t="shared" si="557"/>
        <v>1060</v>
      </c>
      <c r="BI89" s="31">
        <f t="shared" si="557"/>
        <v>0</v>
      </c>
      <c r="BJ89" s="31">
        <f t="shared" si="557"/>
        <v>0</v>
      </c>
      <c r="BK89" s="31">
        <f t="shared" si="557"/>
        <v>0</v>
      </c>
      <c r="BL89" s="32">
        <f t="shared" si="557"/>
        <v>1060</v>
      </c>
      <c r="BM89" s="30">
        <f>BM90+BM92</f>
        <v>172067.28</v>
      </c>
      <c r="BN89" s="31">
        <f t="shared" ref="BN89:BV89" si="558">BN90+BN92</f>
        <v>172067.28</v>
      </c>
      <c r="BO89" s="31">
        <f t="shared" si="558"/>
        <v>0</v>
      </c>
      <c r="BP89" s="31">
        <f t="shared" si="558"/>
        <v>0</v>
      </c>
      <c r="BQ89" s="31">
        <f t="shared" si="558"/>
        <v>139.41999999999999</v>
      </c>
      <c r="BR89" s="31">
        <f t="shared" si="558"/>
        <v>139.41999999999999</v>
      </c>
      <c r="BS89" s="31">
        <f t="shared" si="558"/>
        <v>1500</v>
      </c>
      <c r="BT89" s="31">
        <f t="shared" si="558"/>
        <v>1500</v>
      </c>
      <c r="BU89" s="31">
        <f t="shared" si="558"/>
        <v>170427.86</v>
      </c>
      <c r="BV89" s="32">
        <f t="shared" si="558"/>
        <v>170427.86</v>
      </c>
      <c r="BW89" s="31">
        <f>BW90+BW92</f>
        <v>222083.08</v>
      </c>
      <c r="BX89" s="31">
        <f t="shared" ref="BX89:CA89" si="559">BX90+BX92</f>
        <v>0</v>
      </c>
      <c r="BY89" s="31">
        <f t="shared" si="559"/>
        <v>0</v>
      </c>
      <c r="BZ89" s="31">
        <f t="shared" si="559"/>
        <v>0</v>
      </c>
      <c r="CA89" s="31">
        <f t="shared" si="559"/>
        <v>222083.08</v>
      </c>
      <c r="CB89" s="31">
        <f t="shared" ref="CB89:CP89" si="560">CB90+CB92</f>
        <v>1060</v>
      </c>
      <c r="CC89" s="31">
        <f t="shared" si="560"/>
        <v>0</v>
      </c>
      <c r="CD89" s="31">
        <f t="shared" si="560"/>
        <v>0</v>
      </c>
      <c r="CE89" s="31">
        <f t="shared" si="560"/>
        <v>0</v>
      </c>
      <c r="CF89" s="31">
        <f t="shared" si="560"/>
        <v>1060</v>
      </c>
      <c r="CG89" s="31">
        <f t="shared" si="560"/>
        <v>201130.48</v>
      </c>
      <c r="CH89" s="31">
        <f t="shared" si="560"/>
        <v>0</v>
      </c>
      <c r="CI89" s="31">
        <f t="shared" si="560"/>
        <v>0</v>
      </c>
      <c r="CJ89" s="31">
        <f t="shared" si="560"/>
        <v>0</v>
      </c>
      <c r="CK89" s="31">
        <f t="shared" si="560"/>
        <v>201130.48</v>
      </c>
      <c r="CL89" s="31">
        <f t="shared" si="560"/>
        <v>1060</v>
      </c>
      <c r="CM89" s="31">
        <f t="shared" si="560"/>
        <v>0</v>
      </c>
      <c r="CN89" s="31">
        <f t="shared" si="560"/>
        <v>0</v>
      </c>
      <c r="CO89" s="31">
        <f t="shared" si="560"/>
        <v>0</v>
      </c>
      <c r="CP89" s="32">
        <f t="shared" si="560"/>
        <v>1060</v>
      </c>
      <c r="CQ89" s="33">
        <v>172067.28</v>
      </c>
      <c r="CR89" s="34">
        <v>0</v>
      </c>
      <c r="CS89" s="34">
        <v>139.41999999999999</v>
      </c>
      <c r="CT89" s="34">
        <v>1500</v>
      </c>
      <c r="CU89" s="35">
        <v>170427.86</v>
      </c>
      <c r="CV89" s="30">
        <f>CV90+CV92</f>
        <v>222083.08</v>
      </c>
      <c r="CW89" s="31">
        <f t="shared" ref="CW89:DE89" si="561">CW90+CW92</f>
        <v>0</v>
      </c>
      <c r="CX89" s="31">
        <f t="shared" si="561"/>
        <v>0</v>
      </c>
      <c r="CY89" s="31">
        <f t="shared" si="561"/>
        <v>0</v>
      </c>
      <c r="CZ89" s="32">
        <f t="shared" si="561"/>
        <v>222083.08</v>
      </c>
      <c r="DA89" s="30">
        <f t="shared" si="561"/>
        <v>1060</v>
      </c>
      <c r="DB89" s="31">
        <f t="shared" si="561"/>
        <v>0</v>
      </c>
      <c r="DC89" s="31">
        <f t="shared" si="561"/>
        <v>0</v>
      </c>
      <c r="DD89" s="31">
        <f t="shared" si="561"/>
        <v>0</v>
      </c>
      <c r="DE89" s="32">
        <f t="shared" si="561"/>
        <v>1060</v>
      </c>
      <c r="DF89" s="33">
        <v>172067.28</v>
      </c>
      <c r="DG89" s="34">
        <v>0</v>
      </c>
      <c r="DH89" s="34">
        <v>139.41999999999999</v>
      </c>
      <c r="DI89" s="31">
        <f t="shared" ref="DI89" si="562">DI90+DI92</f>
        <v>1500</v>
      </c>
      <c r="DJ89" s="34">
        <v>170427.86</v>
      </c>
      <c r="DK89" s="31">
        <f>DK90+DK92</f>
        <v>222083.08</v>
      </c>
      <c r="DL89" s="31">
        <f t="shared" ref="DL89:DT89" si="563">DL90+DL92</f>
        <v>0</v>
      </c>
      <c r="DM89" s="31">
        <f t="shared" si="563"/>
        <v>0</v>
      </c>
      <c r="DN89" s="31">
        <f t="shared" si="563"/>
        <v>0</v>
      </c>
      <c r="DO89" s="31">
        <f t="shared" si="563"/>
        <v>222083.08</v>
      </c>
      <c r="DP89" s="31">
        <f t="shared" si="563"/>
        <v>1060</v>
      </c>
      <c r="DQ89" s="31">
        <f t="shared" si="563"/>
        <v>0</v>
      </c>
      <c r="DR89" s="31">
        <f t="shared" si="563"/>
        <v>0</v>
      </c>
      <c r="DS89" s="31">
        <f t="shared" si="563"/>
        <v>0</v>
      </c>
      <c r="DT89" s="31">
        <f t="shared" si="563"/>
        <v>1060</v>
      </c>
      <c r="DU89" s="36" t="s">
        <v>0</v>
      </c>
    </row>
    <row r="90" spans="1:125" s="37" customFormat="1" ht="73.5" x14ac:dyDescent="0.2">
      <c r="A90" s="38" t="s">
        <v>469</v>
      </c>
      <c r="B90" s="38" t="s">
        <v>470</v>
      </c>
      <c r="C90" s="27">
        <v>2201</v>
      </c>
      <c r="D90" s="71" t="s">
        <v>168</v>
      </c>
      <c r="E90" s="71" t="s">
        <v>168</v>
      </c>
      <c r="F90" s="71" t="s">
        <v>168</v>
      </c>
      <c r="G90" s="71" t="s">
        <v>168</v>
      </c>
      <c r="H90" s="71" t="s">
        <v>168</v>
      </c>
      <c r="I90" s="71" t="s">
        <v>168</v>
      </c>
      <c r="J90" s="71" t="s">
        <v>168</v>
      </c>
      <c r="K90" s="71" t="s">
        <v>168</v>
      </c>
      <c r="L90" s="71" t="s">
        <v>168</v>
      </c>
      <c r="M90" s="71" t="s">
        <v>168</v>
      </c>
      <c r="N90" s="71" t="s">
        <v>168</v>
      </c>
      <c r="O90" s="71" t="s">
        <v>168</v>
      </c>
      <c r="P90" s="71" t="s">
        <v>168</v>
      </c>
      <c r="Q90" s="71" t="s">
        <v>168</v>
      </c>
      <c r="R90" s="71" t="s">
        <v>168</v>
      </c>
      <c r="S90" s="71" t="s">
        <v>168</v>
      </c>
      <c r="T90" s="71" t="s">
        <v>168</v>
      </c>
      <c r="U90" s="71" t="s">
        <v>168</v>
      </c>
      <c r="V90" s="71" t="s">
        <v>168</v>
      </c>
      <c r="W90" s="71" t="s">
        <v>168</v>
      </c>
      <c r="X90" s="71" t="s">
        <v>168</v>
      </c>
      <c r="Y90" s="71" t="s">
        <v>168</v>
      </c>
      <c r="Z90" s="71" t="s">
        <v>168</v>
      </c>
      <c r="AA90" s="71" t="s">
        <v>168</v>
      </c>
      <c r="AB90" s="71" t="s">
        <v>168</v>
      </c>
      <c r="AC90" s="71" t="s">
        <v>168</v>
      </c>
      <c r="AD90" s="71" t="s">
        <v>168</v>
      </c>
      <c r="AE90" s="28" t="s">
        <v>168</v>
      </c>
      <c r="AF90" s="28" t="s">
        <v>168</v>
      </c>
      <c r="AG90" s="28" t="s">
        <v>168</v>
      </c>
      <c r="AH90" s="29" t="s">
        <v>168</v>
      </c>
      <c r="AI90" s="30">
        <f>AI91</f>
        <v>139.41999999999999</v>
      </c>
      <c r="AJ90" s="31">
        <f t="shared" ref="AJ90:CV90" si="564">AJ91</f>
        <v>139.41999999999999</v>
      </c>
      <c r="AK90" s="31">
        <f t="shared" si="564"/>
        <v>0</v>
      </c>
      <c r="AL90" s="31">
        <f t="shared" si="564"/>
        <v>0</v>
      </c>
      <c r="AM90" s="31">
        <f t="shared" si="564"/>
        <v>139.41999999999999</v>
      </c>
      <c r="AN90" s="31">
        <f t="shared" si="564"/>
        <v>139.41999999999999</v>
      </c>
      <c r="AO90" s="31">
        <f t="shared" si="564"/>
        <v>0</v>
      </c>
      <c r="AP90" s="31">
        <f t="shared" si="564"/>
        <v>0</v>
      </c>
      <c r="AQ90" s="31">
        <f t="shared" si="564"/>
        <v>0</v>
      </c>
      <c r="AR90" s="31">
        <f t="shared" si="564"/>
        <v>0</v>
      </c>
      <c r="AS90" s="31">
        <f t="shared" si="564"/>
        <v>0</v>
      </c>
      <c r="AT90" s="31">
        <f t="shared" si="564"/>
        <v>0</v>
      </c>
      <c r="AU90" s="31">
        <f t="shared" si="564"/>
        <v>0</v>
      </c>
      <c r="AV90" s="31">
        <f t="shared" si="564"/>
        <v>0</v>
      </c>
      <c r="AW90" s="31">
        <f t="shared" si="564"/>
        <v>0</v>
      </c>
      <c r="AX90" s="31">
        <f t="shared" si="564"/>
        <v>0</v>
      </c>
      <c r="AY90" s="31">
        <f t="shared" si="564"/>
        <v>0</v>
      </c>
      <c r="AZ90" s="31">
        <f t="shared" si="564"/>
        <v>0</v>
      </c>
      <c r="BA90" s="31">
        <f t="shared" si="564"/>
        <v>0</v>
      </c>
      <c r="BB90" s="31">
        <f t="shared" si="564"/>
        <v>0</v>
      </c>
      <c r="BC90" s="31">
        <f t="shared" si="564"/>
        <v>0</v>
      </c>
      <c r="BD90" s="31">
        <f t="shared" si="564"/>
        <v>0</v>
      </c>
      <c r="BE90" s="31">
        <f t="shared" si="564"/>
        <v>0</v>
      </c>
      <c r="BF90" s="31">
        <f t="shared" si="564"/>
        <v>0</v>
      </c>
      <c r="BG90" s="31">
        <f t="shared" si="564"/>
        <v>0</v>
      </c>
      <c r="BH90" s="31">
        <f t="shared" si="564"/>
        <v>0</v>
      </c>
      <c r="BI90" s="31">
        <f t="shared" si="564"/>
        <v>0</v>
      </c>
      <c r="BJ90" s="31">
        <f t="shared" si="564"/>
        <v>0</v>
      </c>
      <c r="BK90" s="31">
        <f t="shared" si="564"/>
        <v>0</v>
      </c>
      <c r="BL90" s="32">
        <f t="shared" si="564"/>
        <v>0</v>
      </c>
      <c r="BM90" s="30">
        <f>BM91</f>
        <v>139.41999999999999</v>
      </c>
      <c r="BN90" s="31">
        <f t="shared" si="564"/>
        <v>139.41999999999999</v>
      </c>
      <c r="BO90" s="31">
        <f t="shared" si="564"/>
        <v>0</v>
      </c>
      <c r="BP90" s="31">
        <f t="shared" si="564"/>
        <v>0</v>
      </c>
      <c r="BQ90" s="31">
        <f t="shared" si="564"/>
        <v>139.41999999999999</v>
      </c>
      <c r="BR90" s="31">
        <f t="shared" si="564"/>
        <v>139.41999999999999</v>
      </c>
      <c r="BS90" s="31">
        <f t="shared" si="564"/>
        <v>0</v>
      </c>
      <c r="BT90" s="31">
        <f t="shared" si="564"/>
        <v>0</v>
      </c>
      <c r="BU90" s="31">
        <f t="shared" si="564"/>
        <v>0</v>
      </c>
      <c r="BV90" s="32">
        <f t="shared" si="564"/>
        <v>0</v>
      </c>
      <c r="BW90" s="31">
        <f t="shared" si="564"/>
        <v>0</v>
      </c>
      <c r="BX90" s="31">
        <f t="shared" si="564"/>
        <v>0</v>
      </c>
      <c r="BY90" s="31">
        <f t="shared" si="564"/>
        <v>0</v>
      </c>
      <c r="BZ90" s="31">
        <f t="shared" si="564"/>
        <v>0</v>
      </c>
      <c r="CA90" s="31">
        <f t="shared" si="564"/>
        <v>0</v>
      </c>
      <c r="CB90" s="31">
        <f t="shared" si="564"/>
        <v>0</v>
      </c>
      <c r="CC90" s="31">
        <f t="shared" si="564"/>
        <v>0</v>
      </c>
      <c r="CD90" s="31">
        <f t="shared" si="564"/>
        <v>0</v>
      </c>
      <c r="CE90" s="31">
        <f t="shared" si="564"/>
        <v>0</v>
      </c>
      <c r="CF90" s="31">
        <f t="shared" si="564"/>
        <v>0</v>
      </c>
      <c r="CG90" s="31">
        <f t="shared" si="564"/>
        <v>0</v>
      </c>
      <c r="CH90" s="31">
        <f t="shared" si="564"/>
        <v>0</v>
      </c>
      <c r="CI90" s="31">
        <f t="shared" si="564"/>
        <v>0</v>
      </c>
      <c r="CJ90" s="31">
        <f t="shared" si="564"/>
        <v>0</v>
      </c>
      <c r="CK90" s="31">
        <f t="shared" si="564"/>
        <v>0</v>
      </c>
      <c r="CL90" s="31">
        <f t="shared" si="564"/>
        <v>0</v>
      </c>
      <c r="CM90" s="31">
        <f t="shared" si="564"/>
        <v>0</v>
      </c>
      <c r="CN90" s="31">
        <f t="shared" si="564"/>
        <v>0</v>
      </c>
      <c r="CO90" s="31">
        <f t="shared" si="564"/>
        <v>0</v>
      </c>
      <c r="CP90" s="32">
        <f t="shared" si="564"/>
        <v>0</v>
      </c>
      <c r="CQ90" s="33">
        <v>139.41999999999999</v>
      </c>
      <c r="CR90" s="34">
        <v>0</v>
      </c>
      <c r="CS90" s="34">
        <v>139.41999999999999</v>
      </c>
      <c r="CT90" s="34">
        <v>0</v>
      </c>
      <c r="CU90" s="35">
        <v>0</v>
      </c>
      <c r="CV90" s="30">
        <f t="shared" si="564"/>
        <v>0</v>
      </c>
      <c r="CW90" s="31">
        <f t="shared" ref="CW90:DE90" si="565">CW91</f>
        <v>0</v>
      </c>
      <c r="CX90" s="31">
        <f t="shared" si="565"/>
        <v>0</v>
      </c>
      <c r="CY90" s="31">
        <f t="shared" si="565"/>
        <v>0</v>
      </c>
      <c r="CZ90" s="32">
        <f t="shared" si="565"/>
        <v>0</v>
      </c>
      <c r="DA90" s="30">
        <f t="shared" si="565"/>
        <v>0</v>
      </c>
      <c r="DB90" s="31">
        <f t="shared" si="565"/>
        <v>0</v>
      </c>
      <c r="DC90" s="31">
        <f t="shared" si="565"/>
        <v>0</v>
      </c>
      <c r="DD90" s="31">
        <f t="shared" si="565"/>
        <v>0</v>
      </c>
      <c r="DE90" s="32">
        <f t="shared" si="565"/>
        <v>0</v>
      </c>
      <c r="DF90" s="33">
        <v>139.41999999999999</v>
      </c>
      <c r="DG90" s="34">
        <v>0</v>
      </c>
      <c r="DH90" s="34">
        <v>139.41999999999999</v>
      </c>
      <c r="DI90" s="31">
        <f t="shared" ref="DI90" si="566">DI91</f>
        <v>0</v>
      </c>
      <c r="DJ90" s="34">
        <v>0</v>
      </c>
      <c r="DK90" s="31">
        <f t="shared" ref="DK90:DT90" si="567">DK91</f>
        <v>0</v>
      </c>
      <c r="DL90" s="31">
        <f t="shared" si="567"/>
        <v>0</v>
      </c>
      <c r="DM90" s="31">
        <f t="shared" si="567"/>
        <v>0</v>
      </c>
      <c r="DN90" s="31">
        <f t="shared" si="567"/>
        <v>0</v>
      </c>
      <c r="DO90" s="31">
        <f t="shared" si="567"/>
        <v>0</v>
      </c>
      <c r="DP90" s="31">
        <f t="shared" si="567"/>
        <v>0</v>
      </c>
      <c r="DQ90" s="31">
        <f t="shared" si="567"/>
        <v>0</v>
      </c>
      <c r="DR90" s="31">
        <f t="shared" si="567"/>
        <v>0</v>
      </c>
      <c r="DS90" s="31">
        <f t="shared" si="567"/>
        <v>0</v>
      </c>
      <c r="DT90" s="31">
        <f t="shared" si="567"/>
        <v>0</v>
      </c>
      <c r="DU90" s="36"/>
    </row>
    <row r="91" spans="1:125" s="37" customFormat="1" ht="56.25" x14ac:dyDescent="0.2">
      <c r="A91" s="38" t="s">
        <v>471</v>
      </c>
      <c r="B91" s="38" t="s">
        <v>196</v>
      </c>
      <c r="C91" s="27">
        <v>2212</v>
      </c>
      <c r="D91" s="40" t="s">
        <v>427</v>
      </c>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28"/>
      <c r="AF91" s="28"/>
      <c r="AG91" s="28"/>
      <c r="AH91" s="29"/>
      <c r="AI91" s="44">
        <v>139.41999999999999</v>
      </c>
      <c r="AJ91" s="45">
        <v>139.41999999999999</v>
      </c>
      <c r="AK91" s="31"/>
      <c r="AL91" s="125"/>
      <c r="AM91" s="45">
        <v>139.41999999999999</v>
      </c>
      <c r="AN91" s="45">
        <v>139.41999999999999</v>
      </c>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2"/>
      <c r="BM91" s="44">
        <v>139.41999999999999</v>
      </c>
      <c r="BN91" s="45">
        <v>139.41999999999999</v>
      </c>
      <c r="BO91" s="31"/>
      <c r="BP91" s="125"/>
      <c r="BQ91" s="45">
        <v>139.41999999999999</v>
      </c>
      <c r="BR91" s="45">
        <v>139.41999999999999</v>
      </c>
      <c r="BS91" s="31"/>
      <c r="BT91" s="31"/>
      <c r="BU91" s="31"/>
      <c r="BV91" s="32"/>
      <c r="BW91" s="31"/>
      <c r="BX91" s="31"/>
      <c r="BY91" s="31"/>
      <c r="BZ91" s="31"/>
      <c r="CA91" s="31"/>
      <c r="CB91" s="31"/>
      <c r="CC91" s="31"/>
      <c r="CD91" s="31"/>
      <c r="CE91" s="31"/>
      <c r="CF91" s="31"/>
      <c r="CG91" s="31"/>
      <c r="CH91" s="31"/>
      <c r="CI91" s="31"/>
      <c r="CJ91" s="31"/>
      <c r="CK91" s="31"/>
      <c r="CL91" s="31"/>
      <c r="CM91" s="31"/>
      <c r="CN91" s="31"/>
      <c r="CO91" s="31"/>
      <c r="CP91" s="32"/>
      <c r="CQ91" s="48">
        <v>139.41999999999999</v>
      </c>
      <c r="CR91" s="34"/>
      <c r="CS91" s="46">
        <v>139.41999999999999</v>
      </c>
      <c r="CT91" s="34"/>
      <c r="CU91" s="35"/>
      <c r="CV91" s="30"/>
      <c r="CW91" s="31"/>
      <c r="CX91" s="31"/>
      <c r="CY91" s="31"/>
      <c r="CZ91" s="32"/>
      <c r="DA91" s="30"/>
      <c r="DB91" s="31"/>
      <c r="DC91" s="31"/>
      <c r="DD91" s="31"/>
      <c r="DE91" s="32"/>
      <c r="DF91" s="48">
        <v>139.41999999999999</v>
      </c>
      <c r="DG91" s="34"/>
      <c r="DH91" s="46">
        <v>139.41999999999999</v>
      </c>
      <c r="DI91" s="31"/>
      <c r="DJ91" s="34"/>
      <c r="DK91" s="31"/>
      <c r="DL91" s="31"/>
      <c r="DM91" s="31"/>
      <c r="DN91" s="31"/>
      <c r="DO91" s="31"/>
      <c r="DP91" s="31"/>
      <c r="DQ91" s="31"/>
      <c r="DR91" s="31"/>
      <c r="DS91" s="31"/>
      <c r="DT91" s="31"/>
      <c r="DU91" s="50" t="s">
        <v>219</v>
      </c>
    </row>
    <row r="92" spans="1:125" s="37" customFormat="1" ht="31.5" x14ac:dyDescent="0.2">
      <c r="A92" s="26" t="s">
        <v>359</v>
      </c>
      <c r="B92" s="26" t="s">
        <v>360</v>
      </c>
      <c r="C92" s="27" t="s">
        <v>361</v>
      </c>
      <c r="D92" s="71" t="s">
        <v>168</v>
      </c>
      <c r="E92" s="71" t="s">
        <v>168</v>
      </c>
      <c r="F92" s="71" t="s">
        <v>168</v>
      </c>
      <c r="G92" s="71" t="s">
        <v>168</v>
      </c>
      <c r="H92" s="71" t="s">
        <v>168</v>
      </c>
      <c r="I92" s="71" t="s">
        <v>168</v>
      </c>
      <c r="J92" s="71" t="s">
        <v>168</v>
      </c>
      <c r="K92" s="71" t="s">
        <v>168</v>
      </c>
      <c r="L92" s="71" t="s">
        <v>168</v>
      </c>
      <c r="M92" s="71" t="s">
        <v>168</v>
      </c>
      <c r="N92" s="71" t="s">
        <v>168</v>
      </c>
      <c r="O92" s="71" t="s">
        <v>168</v>
      </c>
      <c r="P92" s="71" t="s">
        <v>168</v>
      </c>
      <c r="Q92" s="71" t="s">
        <v>168</v>
      </c>
      <c r="R92" s="71" t="s">
        <v>168</v>
      </c>
      <c r="S92" s="71" t="s">
        <v>168</v>
      </c>
      <c r="T92" s="71" t="s">
        <v>168</v>
      </c>
      <c r="U92" s="71" t="s">
        <v>168</v>
      </c>
      <c r="V92" s="71" t="s">
        <v>168</v>
      </c>
      <c r="W92" s="71" t="s">
        <v>168</v>
      </c>
      <c r="X92" s="71" t="s">
        <v>168</v>
      </c>
      <c r="Y92" s="71" t="s">
        <v>168</v>
      </c>
      <c r="Z92" s="71" t="s">
        <v>168</v>
      </c>
      <c r="AA92" s="71" t="s">
        <v>168</v>
      </c>
      <c r="AB92" s="71" t="s">
        <v>168</v>
      </c>
      <c r="AC92" s="71" t="s">
        <v>168</v>
      </c>
      <c r="AD92" s="71" t="s">
        <v>168</v>
      </c>
      <c r="AE92" s="28" t="s">
        <v>168</v>
      </c>
      <c r="AF92" s="28" t="s">
        <v>168</v>
      </c>
      <c r="AG92" s="28" t="s">
        <v>168</v>
      </c>
      <c r="AH92" s="29" t="s">
        <v>168</v>
      </c>
      <c r="AI92" s="30">
        <f>SUM(AI93:AI100)</f>
        <v>171927.86</v>
      </c>
      <c r="AJ92" s="31">
        <f t="shared" ref="AJ92:BL92" si="568">SUM(AJ93:AJ100)</f>
        <v>171927.86</v>
      </c>
      <c r="AK92" s="31">
        <f t="shared" si="568"/>
        <v>0</v>
      </c>
      <c r="AL92" s="31">
        <f t="shared" si="568"/>
        <v>0</v>
      </c>
      <c r="AM92" s="31">
        <f t="shared" si="568"/>
        <v>0</v>
      </c>
      <c r="AN92" s="31">
        <f t="shared" si="568"/>
        <v>0</v>
      </c>
      <c r="AO92" s="31">
        <f t="shared" si="568"/>
        <v>1500</v>
      </c>
      <c r="AP92" s="31">
        <f t="shared" si="568"/>
        <v>1500</v>
      </c>
      <c r="AQ92" s="31">
        <f t="shared" si="568"/>
        <v>170427.86</v>
      </c>
      <c r="AR92" s="31">
        <f t="shared" si="568"/>
        <v>170427.86</v>
      </c>
      <c r="AS92" s="31">
        <f>SUM(AS93:AS100)</f>
        <v>285852.39999999997</v>
      </c>
      <c r="AT92" s="31">
        <f t="shared" si="568"/>
        <v>0</v>
      </c>
      <c r="AU92" s="31">
        <f t="shared" si="568"/>
        <v>0</v>
      </c>
      <c r="AV92" s="31">
        <f t="shared" si="568"/>
        <v>0</v>
      </c>
      <c r="AW92" s="31">
        <f t="shared" si="568"/>
        <v>285852.39999999997</v>
      </c>
      <c r="AX92" s="31">
        <f t="shared" si="568"/>
        <v>430039.5</v>
      </c>
      <c r="AY92" s="31">
        <f t="shared" si="568"/>
        <v>0</v>
      </c>
      <c r="AZ92" s="31">
        <f t="shared" si="568"/>
        <v>0</v>
      </c>
      <c r="BA92" s="31">
        <f t="shared" si="568"/>
        <v>430039.5</v>
      </c>
      <c r="BB92" s="31">
        <f t="shared" si="568"/>
        <v>0</v>
      </c>
      <c r="BC92" s="31">
        <f t="shared" si="568"/>
        <v>0</v>
      </c>
      <c r="BD92" s="31">
        <f t="shared" si="568"/>
        <v>0</v>
      </c>
      <c r="BE92" s="31">
        <f t="shared" si="568"/>
        <v>0</v>
      </c>
      <c r="BF92" s="31">
        <f t="shared" si="568"/>
        <v>0</v>
      </c>
      <c r="BG92" s="31">
        <f t="shared" si="568"/>
        <v>0</v>
      </c>
      <c r="BH92" s="31">
        <f t="shared" si="568"/>
        <v>1060</v>
      </c>
      <c r="BI92" s="31">
        <f t="shared" si="568"/>
        <v>0</v>
      </c>
      <c r="BJ92" s="31">
        <f t="shared" si="568"/>
        <v>0</v>
      </c>
      <c r="BK92" s="31">
        <f t="shared" si="568"/>
        <v>0</v>
      </c>
      <c r="BL92" s="32">
        <f t="shared" si="568"/>
        <v>1060</v>
      </c>
      <c r="BM92" s="30">
        <f>SUM(BM93:BM100)</f>
        <v>171927.86</v>
      </c>
      <c r="BN92" s="31">
        <f t="shared" ref="BN92:BV92" si="569">SUM(BN93:BN100)</f>
        <v>171927.86</v>
      </c>
      <c r="BO92" s="31">
        <f t="shared" si="569"/>
        <v>0</v>
      </c>
      <c r="BP92" s="31">
        <f t="shared" si="569"/>
        <v>0</v>
      </c>
      <c r="BQ92" s="31">
        <f t="shared" si="569"/>
        <v>0</v>
      </c>
      <c r="BR92" s="31">
        <f t="shared" si="569"/>
        <v>0</v>
      </c>
      <c r="BS92" s="31">
        <f t="shared" si="569"/>
        <v>1500</v>
      </c>
      <c r="BT92" s="31">
        <f t="shared" si="569"/>
        <v>1500</v>
      </c>
      <c r="BU92" s="31">
        <f t="shared" si="569"/>
        <v>170427.86</v>
      </c>
      <c r="BV92" s="32">
        <f t="shared" si="569"/>
        <v>170427.86</v>
      </c>
      <c r="BW92" s="31">
        <f>SUM(BW93:BW100)</f>
        <v>222083.08</v>
      </c>
      <c r="BX92" s="31">
        <f t="shared" ref="BX92:CA92" si="570">SUM(BX93:BX100)</f>
        <v>0</v>
      </c>
      <c r="BY92" s="31">
        <f t="shared" si="570"/>
        <v>0</v>
      </c>
      <c r="BZ92" s="31">
        <f t="shared" si="570"/>
        <v>0</v>
      </c>
      <c r="CA92" s="31">
        <f t="shared" si="570"/>
        <v>222083.08</v>
      </c>
      <c r="CB92" s="31">
        <f t="shared" ref="CB92:CP92" si="571">SUM(CB93:CB100)</f>
        <v>1060</v>
      </c>
      <c r="CC92" s="31">
        <f t="shared" si="571"/>
        <v>0</v>
      </c>
      <c r="CD92" s="31">
        <f t="shared" si="571"/>
        <v>0</v>
      </c>
      <c r="CE92" s="31">
        <f t="shared" si="571"/>
        <v>0</v>
      </c>
      <c r="CF92" s="31">
        <f t="shared" si="571"/>
        <v>1060</v>
      </c>
      <c r="CG92" s="31">
        <f t="shared" si="571"/>
        <v>201130.48</v>
      </c>
      <c r="CH92" s="31">
        <f t="shared" si="571"/>
        <v>0</v>
      </c>
      <c r="CI92" s="31">
        <f t="shared" si="571"/>
        <v>0</v>
      </c>
      <c r="CJ92" s="31">
        <f t="shared" si="571"/>
        <v>0</v>
      </c>
      <c r="CK92" s="31">
        <f t="shared" si="571"/>
        <v>201130.48</v>
      </c>
      <c r="CL92" s="31">
        <f t="shared" si="571"/>
        <v>1060</v>
      </c>
      <c r="CM92" s="31">
        <f t="shared" si="571"/>
        <v>0</v>
      </c>
      <c r="CN92" s="31">
        <f t="shared" si="571"/>
        <v>0</v>
      </c>
      <c r="CO92" s="31">
        <f t="shared" si="571"/>
        <v>0</v>
      </c>
      <c r="CP92" s="32">
        <f t="shared" si="571"/>
        <v>1060</v>
      </c>
      <c r="CQ92" s="33">
        <v>171927.86</v>
      </c>
      <c r="CR92" s="34">
        <v>0</v>
      </c>
      <c r="CS92" s="34">
        <v>0</v>
      </c>
      <c r="CT92" s="34">
        <v>1500</v>
      </c>
      <c r="CU92" s="35">
        <v>170427.86</v>
      </c>
      <c r="CV92" s="30">
        <f>SUM(CV93:CV100)</f>
        <v>222083.08</v>
      </c>
      <c r="CW92" s="31">
        <f t="shared" ref="CW92:DE92" si="572">SUM(CW93:CW100)</f>
        <v>0</v>
      </c>
      <c r="CX92" s="31">
        <f t="shared" si="572"/>
        <v>0</v>
      </c>
      <c r="CY92" s="31">
        <f t="shared" si="572"/>
        <v>0</v>
      </c>
      <c r="CZ92" s="32">
        <f t="shared" si="572"/>
        <v>222083.08</v>
      </c>
      <c r="DA92" s="30">
        <f t="shared" si="572"/>
        <v>1060</v>
      </c>
      <c r="DB92" s="31">
        <f t="shared" si="572"/>
        <v>0</v>
      </c>
      <c r="DC92" s="31">
        <f t="shared" si="572"/>
        <v>0</v>
      </c>
      <c r="DD92" s="31">
        <f t="shared" si="572"/>
        <v>0</v>
      </c>
      <c r="DE92" s="32">
        <f t="shared" si="572"/>
        <v>1060</v>
      </c>
      <c r="DF92" s="33">
        <v>171927.86</v>
      </c>
      <c r="DG92" s="34">
        <v>0</v>
      </c>
      <c r="DH92" s="34">
        <v>0</v>
      </c>
      <c r="DI92" s="31">
        <f t="shared" ref="DI92" si="573">SUM(DI93:DI100)</f>
        <v>1500</v>
      </c>
      <c r="DJ92" s="34">
        <v>170427.86</v>
      </c>
      <c r="DK92" s="31">
        <f>SUM(DK93:DK100)</f>
        <v>222083.08</v>
      </c>
      <c r="DL92" s="31">
        <f t="shared" ref="DL92:DT92" si="574">SUM(DL93:DL100)</f>
        <v>0</v>
      </c>
      <c r="DM92" s="31">
        <f t="shared" si="574"/>
        <v>0</v>
      </c>
      <c r="DN92" s="31">
        <f t="shared" si="574"/>
        <v>0</v>
      </c>
      <c r="DO92" s="31">
        <f t="shared" si="574"/>
        <v>222083.08</v>
      </c>
      <c r="DP92" s="31">
        <f t="shared" si="574"/>
        <v>1060</v>
      </c>
      <c r="DQ92" s="31">
        <f t="shared" si="574"/>
        <v>0</v>
      </c>
      <c r="DR92" s="31">
        <f t="shared" si="574"/>
        <v>0</v>
      </c>
      <c r="DS92" s="31">
        <f t="shared" si="574"/>
        <v>0</v>
      </c>
      <c r="DT92" s="31">
        <f t="shared" si="574"/>
        <v>1060</v>
      </c>
      <c r="DU92" s="36" t="s">
        <v>0</v>
      </c>
    </row>
    <row r="93" spans="1:125" customFormat="1" ht="157.5" x14ac:dyDescent="0.2">
      <c r="A93" s="38" t="s">
        <v>362</v>
      </c>
      <c r="B93" s="38" t="s">
        <v>363</v>
      </c>
      <c r="C93" s="39" t="s">
        <v>364</v>
      </c>
      <c r="D93" s="40" t="s">
        <v>427</v>
      </c>
      <c r="E93" s="40" t="s">
        <v>0</v>
      </c>
      <c r="F93" s="40" t="s">
        <v>0</v>
      </c>
      <c r="G93" s="40" t="s">
        <v>0</v>
      </c>
      <c r="H93" s="40" t="s">
        <v>0</v>
      </c>
      <c r="I93" s="40" t="s">
        <v>0</v>
      </c>
      <c r="J93" s="40" t="s">
        <v>0</v>
      </c>
      <c r="K93" s="40" t="s">
        <v>0</v>
      </c>
      <c r="L93" s="40" t="s">
        <v>0</v>
      </c>
      <c r="M93" s="40" t="s">
        <v>0</v>
      </c>
      <c r="N93" s="40" t="s">
        <v>0</v>
      </c>
      <c r="O93" s="40" t="s">
        <v>0</v>
      </c>
      <c r="P93" s="40" t="s">
        <v>0</v>
      </c>
      <c r="Q93" s="40" t="s">
        <v>0</v>
      </c>
      <c r="R93" s="40" t="s">
        <v>0</v>
      </c>
      <c r="S93" s="40" t="s">
        <v>0</v>
      </c>
      <c r="T93" s="40" t="s">
        <v>0</v>
      </c>
      <c r="U93" s="40" t="s">
        <v>0</v>
      </c>
      <c r="V93" s="40" t="s">
        <v>0</v>
      </c>
      <c r="W93" s="40" t="s">
        <v>0</v>
      </c>
      <c r="X93" s="40" t="s">
        <v>0</v>
      </c>
      <c r="Y93" s="40" t="s">
        <v>0</v>
      </c>
      <c r="Z93" s="40" t="s">
        <v>0</v>
      </c>
      <c r="AA93" s="40" t="s">
        <v>0</v>
      </c>
      <c r="AB93" s="40" t="s">
        <v>0</v>
      </c>
      <c r="AC93" s="40" t="s">
        <v>0</v>
      </c>
      <c r="AD93" s="40" t="s">
        <v>515</v>
      </c>
      <c r="AE93" s="41"/>
      <c r="AF93" s="41"/>
      <c r="AG93" s="42" t="s">
        <v>0</v>
      </c>
      <c r="AH93" s="43" t="s">
        <v>182</v>
      </c>
      <c r="AI93" s="92">
        <v>1342.4</v>
      </c>
      <c r="AJ93" s="93">
        <v>1342.4</v>
      </c>
      <c r="AK93" s="45">
        <v>0</v>
      </c>
      <c r="AL93" s="52">
        <v>0</v>
      </c>
      <c r="AM93" s="45">
        <v>0</v>
      </c>
      <c r="AN93" s="45">
        <v>0</v>
      </c>
      <c r="AO93" s="45">
        <v>0</v>
      </c>
      <c r="AP93" s="45">
        <v>0</v>
      </c>
      <c r="AQ93" s="93">
        <v>1342.4</v>
      </c>
      <c r="AR93" s="93">
        <v>1342.4</v>
      </c>
      <c r="AS93" s="45">
        <f>AW93</f>
        <v>6268.1</v>
      </c>
      <c r="AT93" s="45">
        <v>0</v>
      </c>
      <c r="AU93" s="45">
        <v>0</v>
      </c>
      <c r="AV93" s="45">
        <v>0</v>
      </c>
      <c r="AW93" s="45">
        <v>6268.1</v>
      </c>
      <c r="AX93" s="45">
        <v>0</v>
      </c>
      <c r="AY93" s="45">
        <v>0</v>
      </c>
      <c r="AZ93" s="45">
        <v>0</v>
      </c>
      <c r="BA93" s="45">
        <v>0</v>
      </c>
      <c r="BB93" s="45">
        <v>0</v>
      </c>
      <c r="BC93" s="45">
        <v>0</v>
      </c>
      <c r="BD93" s="45">
        <v>0</v>
      </c>
      <c r="BE93" s="45">
        <v>0</v>
      </c>
      <c r="BF93" s="45">
        <v>0</v>
      </c>
      <c r="BG93" s="45">
        <v>0</v>
      </c>
      <c r="BH93" s="45">
        <v>0</v>
      </c>
      <c r="BI93" s="45">
        <v>0</v>
      </c>
      <c r="BJ93" s="45">
        <v>0</v>
      </c>
      <c r="BK93" s="45">
        <v>0</v>
      </c>
      <c r="BL93" s="49">
        <v>0</v>
      </c>
      <c r="BM93" s="92">
        <v>1342.4</v>
      </c>
      <c r="BN93" s="93">
        <v>1342.4</v>
      </c>
      <c r="BO93" s="45">
        <v>0</v>
      </c>
      <c r="BP93" s="52">
        <v>0</v>
      </c>
      <c r="BQ93" s="45">
        <v>0</v>
      </c>
      <c r="BR93" s="45">
        <v>0</v>
      </c>
      <c r="BS93" s="45">
        <v>0</v>
      </c>
      <c r="BT93" s="45">
        <v>0</v>
      </c>
      <c r="BU93" s="93">
        <v>1342.4</v>
      </c>
      <c r="BV93" s="94">
        <v>1342.4</v>
      </c>
      <c r="BW93" s="45">
        <v>5077</v>
      </c>
      <c r="BX93" s="45">
        <v>0</v>
      </c>
      <c r="BY93" s="45">
        <v>0</v>
      </c>
      <c r="BZ93" s="45">
        <v>0</v>
      </c>
      <c r="CA93" s="45">
        <v>5077</v>
      </c>
      <c r="CB93" s="45">
        <v>0</v>
      </c>
      <c r="CC93" s="45">
        <v>0</v>
      </c>
      <c r="CD93" s="45">
        <v>0</v>
      </c>
      <c r="CE93" s="45">
        <v>0</v>
      </c>
      <c r="CF93" s="45">
        <v>0</v>
      </c>
      <c r="CG93" s="45">
        <v>0</v>
      </c>
      <c r="CH93" s="45">
        <v>0</v>
      </c>
      <c r="CI93" s="45">
        <v>0</v>
      </c>
      <c r="CJ93" s="45">
        <v>0</v>
      </c>
      <c r="CK93" s="45">
        <v>0</v>
      </c>
      <c r="CL93" s="45">
        <v>0</v>
      </c>
      <c r="CM93" s="45">
        <v>0</v>
      </c>
      <c r="CN93" s="45">
        <v>0</v>
      </c>
      <c r="CO93" s="45">
        <v>0</v>
      </c>
      <c r="CP93" s="49">
        <v>0</v>
      </c>
      <c r="CQ93" s="92">
        <v>1342.4</v>
      </c>
      <c r="CR93" s="46">
        <v>0</v>
      </c>
      <c r="CS93" s="46">
        <v>0</v>
      </c>
      <c r="CT93" s="46">
        <v>0</v>
      </c>
      <c r="CU93" s="94">
        <v>1342.4</v>
      </c>
      <c r="CV93" s="44">
        <v>5077</v>
      </c>
      <c r="CW93" s="45">
        <v>0</v>
      </c>
      <c r="CX93" s="45">
        <v>0</v>
      </c>
      <c r="CY93" s="45">
        <v>0</v>
      </c>
      <c r="CZ93" s="49">
        <v>5077</v>
      </c>
      <c r="DA93" s="44">
        <v>0</v>
      </c>
      <c r="DB93" s="45">
        <v>0</v>
      </c>
      <c r="DC93" s="45">
        <v>0</v>
      </c>
      <c r="DD93" s="45">
        <v>0</v>
      </c>
      <c r="DE93" s="49">
        <v>0</v>
      </c>
      <c r="DF93" s="92">
        <v>1342.4</v>
      </c>
      <c r="DG93" s="46">
        <v>0</v>
      </c>
      <c r="DH93" s="46">
        <v>0</v>
      </c>
      <c r="DI93" s="45">
        <v>0</v>
      </c>
      <c r="DJ93" s="93">
        <v>1342.4</v>
      </c>
      <c r="DK93" s="45">
        <v>5077</v>
      </c>
      <c r="DL93" s="45">
        <v>0</v>
      </c>
      <c r="DM93" s="45">
        <v>0</v>
      </c>
      <c r="DN93" s="45">
        <v>0</v>
      </c>
      <c r="DO93" s="45">
        <v>5077</v>
      </c>
      <c r="DP93" s="45">
        <v>0</v>
      </c>
      <c r="DQ93" s="45">
        <v>0</v>
      </c>
      <c r="DR93" s="45">
        <v>0</v>
      </c>
      <c r="DS93" s="45">
        <v>0</v>
      </c>
      <c r="DT93" s="45">
        <v>0</v>
      </c>
      <c r="DU93" s="50" t="s">
        <v>219</v>
      </c>
    </row>
    <row r="94" spans="1:125" customFormat="1" ht="157.5" x14ac:dyDescent="0.2">
      <c r="A94" s="38" t="s">
        <v>365</v>
      </c>
      <c r="B94" s="38" t="s">
        <v>366</v>
      </c>
      <c r="C94" s="39" t="s">
        <v>367</v>
      </c>
      <c r="D94" s="40" t="s">
        <v>427</v>
      </c>
      <c r="E94" s="40" t="s">
        <v>0</v>
      </c>
      <c r="F94" s="40" t="s">
        <v>0</v>
      </c>
      <c r="G94" s="40" t="s">
        <v>0</v>
      </c>
      <c r="H94" s="40" t="s">
        <v>0</v>
      </c>
      <c r="I94" s="40" t="s">
        <v>0</v>
      </c>
      <c r="J94" s="40" t="s">
        <v>0</v>
      </c>
      <c r="K94" s="40" t="s">
        <v>0</v>
      </c>
      <c r="L94" s="40" t="s">
        <v>0</v>
      </c>
      <c r="M94" s="40" t="s">
        <v>0</v>
      </c>
      <c r="N94" s="40" t="s">
        <v>0</v>
      </c>
      <c r="O94" s="40" t="s">
        <v>0</v>
      </c>
      <c r="P94" s="40" t="s">
        <v>0</v>
      </c>
      <c r="Q94" s="40" t="s">
        <v>0</v>
      </c>
      <c r="R94" s="40" t="s">
        <v>0</v>
      </c>
      <c r="S94" s="40" t="s">
        <v>0</v>
      </c>
      <c r="T94" s="40" t="s">
        <v>0</v>
      </c>
      <c r="U94" s="40" t="s">
        <v>0</v>
      </c>
      <c r="V94" s="40" t="s">
        <v>0</v>
      </c>
      <c r="W94" s="40" t="s">
        <v>0</v>
      </c>
      <c r="X94" s="40" t="s">
        <v>0</v>
      </c>
      <c r="Y94" s="40" t="s">
        <v>0</v>
      </c>
      <c r="Z94" s="40" t="s">
        <v>0</v>
      </c>
      <c r="AA94" s="40" t="s">
        <v>518</v>
      </c>
      <c r="AB94" s="40" t="s">
        <v>0</v>
      </c>
      <c r="AC94" s="40" t="s">
        <v>0</v>
      </c>
      <c r="AD94" s="40" t="s">
        <v>515</v>
      </c>
      <c r="AE94" s="41"/>
      <c r="AF94" s="41"/>
      <c r="AG94" s="42" t="s">
        <v>0</v>
      </c>
      <c r="AH94" s="57" t="s">
        <v>516</v>
      </c>
      <c r="AI94" s="44">
        <v>2332.04</v>
      </c>
      <c r="AJ94" s="45">
        <v>2332.04</v>
      </c>
      <c r="AK94" s="45">
        <v>0</v>
      </c>
      <c r="AL94" s="52">
        <v>0</v>
      </c>
      <c r="AM94" s="45">
        <v>0</v>
      </c>
      <c r="AN94" s="45">
        <v>0</v>
      </c>
      <c r="AO94" s="45">
        <v>0</v>
      </c>
      <c r="AP94" s="45">
        <v>0</v>
      </c>
      <c r="AQ94" s="46">
        <v>2332.04</v>
      </c>
      <c r="AR94" s="46">
        <v>2332.04</v>
      </c>
      <c r="AS94" s="46">
        <f>AW94</f>
        <v>10686</v>
      </c>
      <c r="AT94" s="45">
        <v>0</v>
      </c>
      <c r="AU94" s="45">
        <v>0</v>
      </c>
      <c r="AV94" s="45">
        <v>0</v>
      </c>
      <c r="AW94" s="46">
        <v>10686</v>
      </c>
      <c r="AX94" s="45">
        <v>660</v>
      </c>
      <c r="AY94" s="45">
        <v>0</v>
      </c>
      <c r="AZ94" s="45">
        <v>0</v>
      </c>
      <c r="BA94" s="45">
        <v>660</v>
      </c>
      <c r="BB94" s="45"/>
      <c r="BC94" s="45">
        <f>SUM(BD94:BG94)</f>
        <v>0</v>
      </c>
      <c r="BD94" s="45">
        <v>0</v>
      </c>
      <c r="BE94" s="45">
        <v>0</v>
      </c>
      <c r="BF94" s="45">
        <v>0</v>
      </c>
      <c r="BG94" s="45">
        <v>0</v>
      </c>
      <c r="BH94" s="45">
        <v>660</v>
      </c>
      <c r="BI94" s="45">
        <v>0</v>
      </c>
      <c r="BJ94" s="45">
        <v>0</v>
      </c>
      <c r="BK94" s="45">
        <v>0</v>
      </c>
      <c r="BL94" s="49">
        <f>BH94</f>
        <v>660</v>
      </c>
      <c r="BM94" s="44">
        <v>2332.04</v>
      </c>
      <c r="BN94" s="45">
        <v>2332.04</v>
      </c>
      <c r="BO94" s="45">
        <v>0</v>
      </c>
      <c r="BP94" s="52">
        <v>0</v>
      </c>
      <c r="BQ94" s="45">
        <v>0</v>
      </c>
      <c r="BR94" s="45">
        <v>0</v>
      </c>
      <c r="BS94" s="45">
        <v>0</v>
      </c>
      <c r="BT94" s="45">
        <v>0</v>
      </c>
      <c r="BU94" s="46">
        <v>2332.04</v>
      </c>
      <c r="BV94" s="47">
        <v>2332.04</v>
      </c>
      <c r="BW94" s="46">
        <v>2279.2800000000002</v>
      </c>
      <c r="BX94" s="45">
        <v>0</v>
      </c>
      <c r="BY94" s="45">
        <v>0</v>
      </c>
      <c r="BZ94" s="45">
        <v>0</v>
      </c>
      <c r="CA94" s="46">
        <v>2279.2800000000002</v>
      </c>
      <c r="CB94" s="45">
        <v>660</v>
      </c>
      <c r="CC94" s="45">
        <v>0</v>
      </c>
      <c r="CD94" s="45">
        <v>0</v>
      </c>
      <c r="CE94" s="45">
        <v>0</v>
      </c>
      <c r="CF94" s="45">
        <f>CB94</f>
        <v>660</v>
      </c>
      <c r="CG94" s="45">
        <v>660</v>
      </c>
      <c r="CH94" s="45">
        <v>0</v>
      </c>
      <c r="CI94" s="45">
        <v>0</v>
      </c>
      <c r="CJ94" s="45">
        <v>0</v>
      </c>
      <c r="CK94" s="45">
        <f>CG94</f>
        <v>660</v>
      </c>
      <c r="CL94" s="45">
        <v>660</v>
      </c>
      <c r="CM94" s="45">
        <v>0</v>
      </c>
      <c r="CN94" s="45">
        <v>0</v>
      </c>
      <c r="CO94" s="45">
        <v>0</v>
      </c>
      <c r="CP94" s="49">
        <f>CL94</f>
        <v>660</v>
      </c>
      <c r="CQ94" s="48">
        <v>2332.04</v>
      </c>
      <c r="CR94" s="46">
        <v>0</v>
      </c>
      <c r="CS94" s="46">
        <v>0</v>
      </c>
      <c r="CT94" s="46">
        <v>0</v>
      </c>
      <c r="CU94" s="47">
        <v>2332.04</v>
      </c>
      <c r="CV94" s="48">
        <v>2279.2800000000002</v>
      </c>
      <c r="CW94" s="45">
        <v>0</v>
      </c>
      <c r="CX94" s="45">
        <v>0</v>
      </c>
      <c r="CY94" s="45">
        <v>0</v>
      </c>
      <c r="CZ94" s="47">
        <v>2279.2800000000002</v>
      </c>
      <c r="DA94" s="44">
        <v>660</v>
      </c>
      <c r="DB94" s="45">
        <v>0</v>
      </c>
      <c r="DC94" s="45">
        <v>0</v>
      </c>
      <c r="DD94" s="45">
        <v>0</v>
      </c>
      <c r="DE94" s="49">
        <f>DA94</f>
        <v>660</v>
      </c>
      <c r="DF94" s="48">
        <v>2332.04</v>
      </c>
      <c r="DG94" s="46">
        <v>0</v>
      </c>
      <c r="DH94" s="46">
        <v>0</v>
      </c>
      <c r="DI94" s="45">
        <v>0</v>
      </c>
      <c r="DJ94" s="46">
        <v>2332.04</v>
      </c>
      <c r="DK94" s="46">
        <v>2279.2800000000002</v>
      </c>
      <c r="DL94" s="45">
        <v>0</v>
      </c>
      <c r="DM94" s="45">
        <v>0</v>
      </c>
      <c r="DN94" s="45">
        <v>0</v>
      </c>
      <c r="DO94" s="46">
        <v>2279.2800000000002</v>
      </c>
      <c r="DP94" s="45">
        <v>660</v>
      </c>
      <c r="DQ94" s="45">
        <v>0</v>
      </c>
      <c r="DR94" s="45">
        <v>0</v>
      </c>
      <c r="DS94" s="45">
        <v>0</v>
      </c>
      <c r="DT94" s="45">
        <f>DP94</f>
        <v>660</v>
      </c>
      <c r="DU94" s="50" t="s">
        <v>219</v>
      </c>
    </row>
    <row r="95" spans="1:125" customFormat="1" ht="157.5" x14ac:dyDescent="0.2">
      <c r="A95" s="38" t="s">
        <v>368</v>
      </c>
      <c r="B95" s="38" t="s">
        <v>369</v>
      </c>
      <c r="C95" s="39" t="s">
        <v>370</v>
      </c>
      <c r="D95" s="40" t="s">
        <v>427</v>
      </c>
      <c r="E95" s="40" t="s">
        <v>0</v>
      </c>
      <c r="F95" s="40" t="s">
        <v>0</v>
      </c>
      <c r="G95" s="40" t="s">
        <v>0</v>
      </c>
      <c r="H95" s="40" t="s">
        <v>0</v>
      </c>
      <c r="I95" s="40" t="s">
        <v>0</v>
      </c>
      <c r="J95" s="40" t="s">
        <v>0</v>
      </c>
      <c r="K95" s="40" t="s">
        <v>0</v>
      </c>
      <c r="L95" s="40" t="s">
        <v>0</v>
      </c>
      <c r="M95" s="40" t="s">
        <v>0</v>
      </c>
      <c r="N95" s="40" t="s">
        <v>0</v>
      </c>
      <c r="O95" s="40" t="s">
        <v>0</v>
      </c>
      <c r="P95" s="40" t="s">
        <v>0</v>
      </c>
      <c r="Q95" s="40" t="s">
        <v>0</v>
      </c>
      <c r="R95" s="40" t="s">
        <v>0</v>
      </c>
      <c r="S95" s="40" t="s">
        <v>0</v>
      </c>
      <c r="T95" s="40" t="s">
        <v>0</v>
      </c>
      <c r="U95" s="40" t="s">
        <v>0</v>
      </c>
      <c r="V95" s="40" t="s">
        <v>0</v>
      </c>
      <c r="W95" s="40" t="s">
        <v>0</v>
      </c>
      <c r="X95" s="40" t="s">
        <v>0</v>
      </c>
      <c r="Y95" s="40" t="s">
        <v>0</v>
      </c>
      <c r="Z95" s="40" t="s">
        <v>0</v>
      </c>
      <c r="AA95" s="40" t="s">
        <v>0</v>
      </c>
      <c r="AB95" s="40" t="s">
        <v>0</v>
      </c>
      <c r="AC95" s="40" t="s">
        <v>0</v>
      </c>
      <c r="AD95" s="40" t="s">
        <v>515</v>
      </c>
      <c r="AE95" s="41"/>
      <c r="AF95" s="41"/>
      <c r="AG95" s="42" t="s">
        <v>0</v>
      </c>
      <c r="AH95" s="43" t="s">
        <v>371</v>
      </c>
      <c r="AI95" s="44">
        <v>31036.33</v>
      </c>
      <c r="AJ95" s="45">
        <v>31036.33</v>
      </c>
      <c r="AK95" s="45">
        <v>0</v>
      </c>
      <c r="AL95" s="52">
        <v>0</v>
      </c>
      <c r="AM95" s="45">
        <v>0</v>
      </c>
      <c r="AN95" s="45">
        <v>0</v>
      </c>
      <c r="AO95" s="45">
        <v>0</v>
      </c>
      <c r="AP95" s="45">
        <v>0</v>
      </c>
      <c r="AQ95" s="46">
        <v>31036.33</v>
      </c>
      <c r="AR95" s="46">
        <v>31036.33</v>
      </c>
      <c r="AS95" s="46">
        <f>AW95</f>
        <v>78629.8</v>
      </c>
      <c r="AT95" s="45">
        <v>0</v>
      </c>
      <c r="AU95" s="45">
        <v>0</v>
      </c>
      <c r="AV95" s="45">
        <v>0</v>
      </c>
      <c r="AW95" s="45">
        <v>78629.8</v>
      </c>
      <c r="AX95" s="45">
        <f>SUM(AY95:BB95)</f>
        <v>92067.1</v>
      </c>
      <c r="AY95" s="45">
        <v>0</v>
      </c>
      <c r="AZ95" s="45">
        <v>0</v>
      </c>
      <c r="BA95" s="45">
        <v>92067.1</v>
      </c>
      <c r="BB95" s="45"/>
      <c r="BC95" s="45">
        <v>0</v>
      </c>
      <c r="BD95" s="45">
        <v>0</v>
      </c>
      <c r="BE95" s="45">
        <v>0</v>
      </c>
      <c r="BF95" s="45">
        <v>0</v>
      </c>
      <c r="BG95" s="45">
        <f>BC95</f>
        <v>0</v>
      </c>
      <c r="BH95" s="45">
        <v>0</v>
      </c>
      <c r="BI95" s="45">
        <v>0</v>
      </c>
      <c r="BJ95" s="45">
        <v>0</v>
      </c>
      <c r="BK95" s="45">
        <v>0</v>
      </c>
      <c r="BL95" s="49">
        <f>BH95</f>
        <v>0</v>
      </c>
      <c r="BM95" s="44">
        <v>31036.33</v>
      </c>
      <c r="BN95" s="45">
        <v>31036.33</v>
      </c>
      <c r="BO95" s="45">
        <v>0</v>
      </c>
      <c r="BP95" s="52">
        <v>0</v>
      </c>
      <c r="BQ95" s="45">
        <v>0</v>
      </c>
      <c r="BR95" s="45">
        <v>0</v>
      </c>
      <c r="BS95" s="45">
        <v>0</v>
      </c>
      <c r="BT95" s="45">
        <v>0</v>
      </c>
      <c r="BU95" s="46">
        <v>31036.33</v>
      </c>
      <c r="BV95" s="47">
        <v>31036.33</v>
      </c>
      <c r="BW95" s="46">
        <v>36004.15</v>
      </c>
      <c r="BX95" s="45">
        <v>0</v>
      </c>
      <c r="BY95" s="45">
        <v>0</v>
      </c>
      <c r="BZ95" s="45">
        <v>0</v>
      </c>
      <c r="CA95" s="45">
        <f t="shared" ref="CA95:CA96" si="575">BW95</f>
        <v>36004.15</v>
      </c>
      <c r="CB95" s="45">
        <v>0</v>
      </c>
      <c r="CC95" s="45">
        <v>0</v>
      </c>
      <c r="CD95" s="45">
        <v>0</v>
      </c>
      <c r="CE95" s="45">
        <v>0</v>
      </c>
      <c r="CF95" s="45">
        <f>CB95</f>
        <v>0</v>
      </c>
      <c r="CG95" s="45">
        <v>0</v>
      </c>
      <c r="CH95" s="45">
        <v>0</v>
      </c>
      <c r="CI95" s="45">
        <v>0</v>
      </c>
      <c r="CJ95" s="45">
        <v>0</v>
      </c>
      <c r="CK95" s="45">
        <f>CG95</f>
        <v>0</v>
      </c>
      <c r="CL95" s="45">
        <v>0</v>
      </c>
      <c r="CM95" s="45">
        <v>0</v>
      </c>
      <c r="CN95" s="45">
        <v>0</v>
      </c>
      <c r="CO95" s="45">
        <v>0</v>
      </c>
      <c r="CP95" s="49">
        <f>CL95</f>
        <v>0</v>
      </c>
      <c r="CQ95" s="48">
        <v>31036.33</v>
      </c>
      <c r="CR95" s="46">
        <v>0</v>
      </c>
      <c r="CS95" s="46">
        <v>0</v>
      </c>
      <c r="CT95" s="46">
        <v>0</v>
      </c>
      <c r="CU95" s="47">
        <v>31036.33</v>
      </c>
      <c r="CV95" s="48">
        <v>36004.15</v>
      </c>
      <c r="CW95" s="45">
        <v>0</v>
      </c>
      <c r="CX95" s="45">
        <v>0</v>
      </c>
      <c r="CY95" s="45">
        <v>0</v>
      </c>
      <c r="CZ95" s="49">
        <f t="shared" ref="CZ95:CZ96" si="576">CV95</f>
        <v>36004.15</v>
      </c>
      <c r="DA95" s="44">
        <v>0</v>
      </c>
      <c r="DB95" s="45">
        <v>0</v>
      </c>
      <c r="DC95" s="45">
        <v>0</v>
      </c>
      <c r="DD95" s="45">
        <v>0</v>
      </c>
      <c r="DE95" s="49">
        <f>DA95</f>
        <v>0</v>
      </c>
      <c r="DF95" s="48">
        <v>31036.33</v>
      </c>
      <c r="DG95" s="46">
        <v>0</v>
      </c>
      <c r="DH95" s="46">
        <v>0</v>
      </c>
      <c r="DI95" s="45">
        <v>0</v>
      </c>
      <c r="DJ95" s="46">
        <v>31036.33</v>
      </c>
      <c r="DK95" s="46">
        <v>36004.15</v>
      </c>
      <c r="DL95" s="45">
        <v>0</v>
      </c>
      <c r="DM95" s="45">
        <v>0</v>
      </c>
      <c r="DN95" s="45">
        <v>0</v>
      </c>
      <c r="DO95" s="45">
        <f t="shared" ref="DO95:DO96" si="577">DK95</f>
        <v>36004.15</v>
      </c>
      <c r="DP95" s="45">
        <v>0</v>
      </c>
      <c r="DQ95" s="45">
        <v>0</v>
      </c>
      <c r="DR95" s="45">
        <v>0</v>
      </c>
      <c r="DS95" s="45">
        <v>0</v>
      </c>
      <c r="DT95" s="45">
        <f>DP95</f>
        <v>0</v>
      </c>
      <c r="DU95" s="50" t="s">
        <v>219</v>
      </c>
    </row>
    <row r="96" spans="1:125" customFormat="1" ht="157.5" x14ac:dyDescent="0.2">
      <c r="A96" s="38" t="s">
        <v>372</v>
      </c>
      <c r="B96" s="38" t="s">
        <v>373</v>
      </c>
      <c r="C96" s="39" t="s">
        <v>374</v>
      </c>
      <c r="D96" s="40" t="s">
        <v>427</v>
      </c>
      <c r="E96" s="40" t="s">
        <v>0</v>
      </c>
      <c r="F96" s="40" t="s">
        <v>0</v>
      </c>
      <c r="G96" s="40" t="s">
        <v>0</v>
      </c>
      <c r="H96" s="40" t="s">
        <v>0</v>
      </c>
      <c r="I96" s="40" t="s">
        <v>0</v>
      </c>
      <c r="J96" s="40" t="s">
        <v>0</v>
      </c>
      <c r="K96" s="40" t="s">
        <v>0</v>
      </c>
      <c r="L96" s="40" t="s">
        <v>0</v>
      </c>
      <c r="M96" s="40" t="s">
        <v>0</v>
      </c>
      <c r="N96" s="40" t="s">
        <v>0</v>
      </c>
      <c r="O96" s="40" t="s">
        <v>0</v>
      </c>
      <c r="P96" s="40" t="s">
        <v>0</v>
      </c>
      <c r="Q96" s="40" t="s">
        <v>0</v>
      </c>
      <c r="R96" s="40" t="s">
        <v>0</v>
      </c>
      <c r="S96" s="40" t="s">
        <v>0</v>
      </c>
      <c r="T96" s="40" t="s">
        <v>0</v>
      </c>
      <c r="U96" s="40" t="s">
        <v>0</v>
      </c>
      <c r="V96" s="40" t="s">
        <v>0</v>
      </c>
      <c r="W96" s="40" t="s">
        <v>0</v>
      </c>
      <c r="X96" s="40" t="s">
        <v>0</v>
      </c>
      <c r="Y96" s="40" t="s">
        <v>0</v>
      </c>
      <c r="Z96" s="40" t="s">
        <v>0</v>
      </c>
      <c r="AA96" s="40" t="s">
        <v>0</v>
      </c>
      <c r="AB96" s="40" t="s">
        <v>0</v>
      </c>
      <c r="AC96" s="40" t="s">
        <v>0</v>
      </c>
      <c r="AD96" s="40" t="s">
        <v>515</v>
      </c>
      <c r="AE96" s="41"/>
      <c r="AF96" s="41"/>
      <c r="AG96" s="42" t="s">
        <v>0</v>
      </c>
      <c r="AH96" s="43" t="s">
        <v>375</v>
      </c>
      <c r="AI96" s="44">
        <v>58349.279999999999</v>
      </c>
      <c r="AJ96" s="45">
        <v>58349.279999999999</v>
      </c>
      <c r="AK96" s="45">
        <v>0</v>
      </c>
      <c r="AL96" s="52">
        <v>0</v>
      </c>
      <c r="AM96" s="45">
        <v>0</v>
      </c>
      <c r="AN96" s="45">
        <v>0</v>
      </c>
      <c r="AO96" s="45">
        <v>0</v>
      </c>
      <c r="AP96" s="45">
        <v>0</v>
      </c>
      <c r="AQ96" s="46">
        <v>58349.279999999999</v>
      </c>
      <c r="AR96" s="46">
        <v>58349.279999999999</v>
      </c>
      <c r="AS96" s="46">
        <f>AW96</f>
        <v>132455</v>
      </c>
      <c r="AT96" s="45">
        <v>0</v>
      </c>
      <c r="AU96" s="45">
        <v>0</v>
      </c>
      <c r="AV96" s="45">
        <v>0</v>
      </c>
      <c r="AW96" s="45">
        <v>132455</v>
      </c>
      <c r="AX96" s="45">
        <f>SUM(AY96:BB96)</f>
        <v>229717.3</v>
      </c>
      <c r="AY96" s="45">
        <v>0</v>
      </c>
      <c r="AZ96" s="45">
        <v>0</v>
      </c>
      <c r="BA96" s="45">
        <v>229717.3</v>
      </c>
      <c r="BB96" s="45"/>
      <c r="BC96" s="45">
        <v>0</v>
      </c>
      <c r="BD96" s="45">
        <v>0</v>
      </c>
      <c r="BE96" s="45">
        <v>0</v>
      </c>
      <c r="BF96" s="45">
        <v>0</v>
      </c>
      <c r="BG96" s="45">
        <f>BC96</f>
        <v>0</v>
      </c>
      <c r="BH96" s="45">
        <v>0</v>
      </c>
      <c r="BI96" s="45">
        <v>0</v>
      </c>
      <c r="BJ96" s="45">
        <v>0</v>
      </c>
      <c r="BK96" s="45">
        <v>0</v>
      </c>
      <c r="BL96" s="49">
        <f>BH96</f>
        <v>0</v>
      </c>
      <c r="BM96" s="44">
        <v>58349.279999999999</v>
      </c>
      <c r="BN96" s="45">
        <v>58349.279999999999</v>
      </c>
      <c r="BO96" s="45">
        <v>0</v>
      </c>
      <c r="BP96" s="52">
        <v>0</v>
      </c>
      <c r="BQ96" s="45">
        <v>0</v>
      </c>
      <c r="BR96" s="45">
        <v>0</v>
      </c>
      <c r="BS96" s="45">
        <v>0</v>
      </c>
      <c r="BT96" s="45">
        <v>0</v>
      </c>
      <c r="BU96" s="46">
        <v>58349.279999999999</v>
      </c>
      <c r="BV96" s="47">
        <v>58349.279999999999</v>
      </c>
      <c r="BW96" s="46">
        <v>165252.69</v>
      </c>
      <c r="BX96" s="45">
        <v>0</v>
      </c>
      <c r="BY96" s="45">
        <v>0</v>
      </c>
      <c r="BZ96" s="45">
        <v>0</v>
      </c>
      <c r="CA96" s="45">
        <f t="shared" si="575"/>
        <v>165252.69</v>
      </c>
      <c r="CB96" s="45">
        <v>0</v>
      </c>
      <c r="CC96" s="45">
        <v>0</v>
      </c>
      <c r="CD96" s="45">
        <v>0</v>
      </c>
      <c r="CE96" s="45">
        <v>0</v>
      </c>
      <c r="CF96" s="45">
        <f>CB96</f>
        <v>0</v>
      </c>
      <c r="CG96" s="45">
        <v>0</v>
      </c>
      <c r="CH96" s="45">
        <v>0</v>
      </c>
      <c r="CI96" s="45">
        <v>0</v>
      </c>
      <c r="CJ96" s="45">
        <v>0</v>
      </c>
      <c r="CK96" s="45">
        <f>CG96</f>
        <v>0</v>
      </c>
      <c r="CL96" s="45">
        <v>0</v>
      </c>
      <c r="CM96" s="45">
        <v>0</v>
      </c>
      <c r="CN96" s="45">
        <v>0</v>
      </c>
      <c r="CO96" s="45">
        <v>0</v>
      </c>
      <c r="CP96" s="49">
        <f>CL96</f>
        <v>0</v>
      </c>
      <c r="CQ96" s="48">
        <v>58349.279999999999</v>
      </c>
      <c r="CR96" s="46">
        <v>0</v>
      </c>
      <c r="CS96" s="46">
        <v>0</v>
      </c>
      <c r="CT96" s="46">
        <v>0</v>
      </c>
      <c r="CU96" s="47">
        <v>58349.279999999999</v>
      </c>
      <c r="CV96" s="48">
        <v>165252.69</v>
      </c>
      <c r="CW96" s="45">
        <v>0</v>
      </c>
      <c r="CX96" s="45">
        <v>0</v>
      </c>
      <c r="CY96" s="45">
        <v>0</v>
      </c>
      <c r="CZ96" s="49">
        <f t="shared" si="576"/>
        <v>165252.69</v>
      </c>
      <c r="DA96" s="44">
        <v>0</v>
      </c>
      <c r="DB96" s="45">
        <v>0</v>
      </c>
      <c r="DC96" s="45">
        <v>0</v>
      </c>
      <c r="DD96" s="45">
        <v>0</v>
      </c>
      <c r="DE96" s="49">
        <f>DA96</f>
        <v>0</v>
      </c>
      <c r="DF96" s="48">
        <v>58349.279999999999</v>
      </c>
      <c r="DG96" s="46">
        <v>0</v>
      </c>
      <c r="DH96" s="46">
        <v>0</v>
      </c>
      <c r="DI96" s="45">
        <v>0</v>
      </c>
      <c r="DJ96" s="46">
        <v>58349.279999999999</v>
      </c>
      <c r="DK96" s="46">
        <v>165252.69</v>
      </c>
      <c r="DL96" s="45">
        <v>0</v>
      </c>
      <c r="DM96" s="45">
        <v>0</v>
      </c>
      <c r="DN96" s="45">
        <v>0</v>
      </c>
      <c r="DO96" s="45">
        <f t="shared" si="577"/>
        <v>165252.69</v>
      </c>
      <c r="DP96" s="45">
        <v>0</v>
      </c>
      <c r="DQ96" s="45">
        <v>0</v>
      </c>
      <c r="DR96" s="45">
        <v>0</v>
      </c>
      <c r="DS96" s="45">
        <v>0</v>
      </c>
      <c r="DT96" s="45">
        <f>DP96</f>
        <v>0</v>
      </c>
      <c r="DU96" s="50" t="s">
        <v>219</v>
      </c>
    </row>
    <row r="97" spans="1:125" customFormat="1" ht="157.5" x14ac:dyDescent="0.2">
      <c r="A97" s="38" t="s">
        <v>376</v>
      </c>
      <c r="B97" s="38" t="s">
        <v>377</v>
      </c>
      <c r="C97" s="39" t="s">
        <v>378</v>
      </c>
      <c r="D97" s="40" t="s">
        <v>427</v>
      </c>
      <c r="E97" s="40" t="s">
        <v>0</v>
      </c>
      <c r="F97" s="40" t="s">
        <v>0</v>
      </c>
      <c r="G97" s="40" t="s">
        <v>0</v>
      </c>
      <c r="H97" s="40" t="s">
        <v>0</v>
      </c>
      <c r="I97" s="40" t="s">
        <v>0</v>
      </c>
      <c r="J97" s="40" t="s">
        <v>0</v>
      </c>
      <c r="K97" s="40" t="s">
        <v>0</v>
      </c>
      <c r="L97" s="40" t="s">
        <v>0</v>
      </c>
      <c r="M97" s="40" t="s">
        <v>0</v>
      </c>
      <c r="N97" s="40" t="s">
        <v>0</v>
      </c>
      <c r="O97" s="40" t="s">
        <v>0</v>
      </c>
      <c r="P97" s="40" t="s">
        <v>0</v>
      </c>
      <c r="Q97" s="40" t="s">
        <v>0</v>
      </c>
      <c r="R97" s="40" t="s">
        <v>0</v>
      </c>
      <c r="S97" s="40" t="s">
        <v>0</v>
      </c>
      <c r="T97" s="40" t="s">
        <v>0</v>
      </c>
      <c r="U97" s="40" t="s">
        <v>0</v>
      </c>
      <c r="V97" s="40" t="s">
        <v>0</v>
      </c>
      <c r="W97" s="40" t="s">
        <v>0</v>
      </c>
      <c r="X97" s="40" t="s">
        <v>0</v>
      </c>
      <c r="Y97" s="40" t="s">
        <v>0</v>
      </c>
      <c r="Z97" s="40" t="s">
        <v>0</v>
      </c>
      <c r="AA97" s="40" t="s">
        <v>0</v>
      </c>
      <c r="AB97" s="40" t="s">
        <v>0</v>
      </c>
      <c r="AC97" s="40" t="s">
        <v>0</v>
      </c>
      <c r="AD97" s="40" t="s">
        <v>515</v>
      </c>
      <c r="AE97" s="41"/>
      <c r="AF97" s="41"/>
      <c r="AG97" s="42" t="s">
        <v>0</v>
      </c>
      <c r="AH97" s="43" t="s">
        <v>206</v>
      </c>
      <c r="AI97" s="44">
        <v>1759.28</v>
      </c>
      <c r="AJ97" s="45">
        <v>1759.28</v>
      </c>
      <c r="AK97" s="45">
        <v>0</v>
      </c>
      <c r="AL97" s="52">
        <v>0</v>
      </c>
      <c r="AM97" s="45">
        <v>0</v>
      </c>
      <c r="AN97" s="45">
        <v>0</v>
      </c>
      <c r="AO97" s="45">
        <v>1500</v>
      </c>
      <c r="AP97" s="45">
        <v>1500</v>
      </c>
      <c r="AQ97" s="46">
        <v>259.27999999999997</v>
      </c>
      <c r="AR97" s="46">
        <v>259.27999999999997</v>
      </c>
      <c r="AS97" s="45">
        <f>SUM(AT97:AW97)</f>
        <v>3542.4</v>
      </c>
      <c r="AT97" s="45">
        <v>0</v>
      </c>
      <c r="AU97" s="45">
        <v>0</v>
      </c>
      <c r="AV97" s="45">
        <v>0</v>
      </c>
      <c r="AW97" s="45">
        <v>3542.4</v>
      </c>
      <c r="AX97" s="45">
        <v>0</v>
      </c>
      <c r="AY97" s="45">
        <v>0</v>
      </c>
      <c r="AZ97" s="45">
        <v>0</v>
      </c>
      <c r="BA97" s="45">
        <v>0</v>
      </c>
      <c r="BB97" s="45">
        <f>AX97</f>
        <v>0</v>
      </c>
      <c r="BC97" s="45">
        <v>0</v>
      </c>
      <c r="BD97" s="45">
        <v>0</v>
      </c>
      <c r="BE97" s="45">
        <v>0</v>
      </c>
      <c r="BF97" s="45">
        <v>0</v>
      </c>
      <c r="BG97" s="45">
        <f>BC97</f>
        <v>0</v>
      </c>
      <c r="BH97" s="45">
        <v>0</v>
      </c>
      <c r="BI97" s="45">
        <v>0</v>
      </c>
      <c r="BJ97" s="45">
        <v>0</v>
      </c>
      <c r="BK97" s="45">
        <v>0</v>
      </c>
      <c r="BL97" s="49">
        <f>BH97</f>
        <v>0</v>
      </c>
      <c r="BM97" s="44">
        <v>1759.28</v>
      </c>
      <c r="BN97" s="45">
        <v>1759.28</v>
      </c>
      <c r="BO97" s="45">
        <v>0</v>
      </c>
      <c r="BP97" s="52">
        <v>0</v>
      </c>
      <c r="BQ97" s="45">
        <v>0</v>
      </c>
      <c r="BR97" s="45">
        <v>0</v>
      </c>
      <c r="BS97" s="45">
        <v>1500</v>
      </c>
      <c r="BT97" s="45">
        <v>1500</v>
      </c>
      <c r="BU97" s="46">
        <v>259.27999999999997</v>
      </c>
      <c r="BV97" s="47">
        <v>259.27999999999997</v>
      </c>
      <c r="BW97" s="45">
        <v>0</v>
      </c>
      <c r="BX97" s="45">
        <v>0</v>
      </c>
      <c r="BY97" s="45">
        <v>0</v>
      </c>
      <c r="BZ97" s="45">
        <v>0</v>
      </c>
      <c r="CA97" s="45">
        <f>BW97</f>
        <v>0</v>
      </c>
      <c r="CB97" s="45">
        <v>0</v>
      </c>
      <c r="CC97" s="45">
        <v>0</v>
      </c>
      <c r="CD97" s="45">
        <v>0</v>
      </c>
      <c r="CE97" s="45">
        <v>0</v>
      </c>
      <c r="CF97" s="45">
        <f>CB97</f>
        <v>0</v>
      </c>
      <c r="CG97" s="45">
        <v>0</v>
      </c>
      <c r="CH97" s="45">
        <v>0</v>
      </c>
      <c r="CI97" s="45">
        <v>0</v>
      </c>
      <c r="CJ97" s="45">
        <v>0</v>
      </c>
      <c r="CK97" s="45">
        <f>CG97</f>
        <v>0</v>
      </c>
      <c r="CL97" s="45">
        <v>0</v>
      </c>
      <c r="CM97" s="45">
        <v>0</v>
      </c>
      <c r="CN97" s="45">
        <v>0</v>
      </c>
      <c r="CO97" s="45">
        <v>0</v>
      </c>
      <c r="CP97" s="49">
        <f>CL97</f>
        <v>0</v>
      </c>
      <c r="CQ97" s="48">
        <v>1759.28</v>
      </c>
      <c r="CR97" s="46">
        <v>0</v>
      </c>
      <c r="CS97" s="46">
        <v>0</v>
      </c>
      <c r="CT97" s="46">
        <v>1500</v>
      </c>
      <c r="CU97" s="47">
        <v>259.27999999999997</v>
      </c>
      <c r="CV97" s="44">
        <v>0</v>
      </c>
      <c r="CW97" s="45">
        <v>0</v>
      </c>
      <c r="CX97" s="45">
        <v>0</v>
      </c>
      <c r="CY97" s="45">
        <v>0</v>
      </c>
      <c r="CZ97" s="49">
        <f>CV97</f>
        <v>0</v>
      </c>
      <c r="DA97" s="44">
        <v>0</v>
      </c>
      <c r="DB97" s="45">
        <v>0</v>
      </c>
      <c r="DC97" s="45">
        <v>0</v>
      </c>
      <c r="DD97" s="45">
        <v>0</v>
      </c>
      <c r="DE97" s="49">
        <f>DA97</f>
        <v>0</v>
      </c>
      <c r="DF97" s="48">
        <v>1759.28</v>
      </c>
      <c r="DG97" s="46">
        <v>0</v>
      </c>
      <c r="DH97" s="46">
        <v>0</v>
      </c>
      <c r="DI97" s="45">
        <v>1500</v>
      </c>
      <c r="DJ97" s="46">
        <v>259.27999999999997</v>
      </c>
      <c r="DK97" s="45">
        <v>0</v>
      </c>
      <c r="DL97" s="45">
        <v>0</v>
      </c>
      <c r="DM97" s="45">
        <v>0</v>
      </c>
      <c r="DN97" s="45">
        <v>0</v>
      </c>
      <c r="DO97" s="45">
        <f>DK97</f>
        <v>0</v>
      </c>
      <c r="DP97" s="45">
        <v>0</v>
      </c>
      <c r="DQ97" s="45">
        <v>0</v>
      </c>
      <c r="DR97" s="45">
        <v>0</v>
      </c>
      <c r="DS97" s="45">
        <v>0</v>
      </c>
      <c r="DT97" s="45">
        <f>DP97</f>
        <v>0</v>
      </c>
      <c r="DU97" s="50" t="s">
        <v>219</v>
      </c>
    </row>
    <row r="98" spans="1:125" customFormat="1" ht="157.5" x14ac:dyDescent="0.2">
      <c r="A98" s="38" t="s">
        <v>379</v>
      </c>
      <c r="B98" s="38" t="s">
        <v>380</v>
      </c>
      <c r="C98" s="39" t="s">
        <v>381</v>
      </c>
      <c r="D98" s="40" t="s">
        <v>427</v>
      </c>
      <c r="E98" s="40" t="s">
        <v>0</v>
      </c>
      <c r="F98" s="40" t="s">
        <v>0</v>
      </c>
      <c r="G98" s="40" t="s">
        <v>0</v>
      </c>
      <c r="H98" s="40" t="s">
        <v>0</v>
      </c>
      <c r="I98" s="40" t="s">
        <v>0</v>
      </c>
      <c r="J98" s="40" t="s">
        <v>0</v>
      </c>
      <c r="K98" s="40" t="s">
        <v>0</v>
      </c>
      <c r="L98" s="40" t="s">
        <v>0</v>
      </c>
      <c r="M98" s="40" t="s">
        <v>0</v>
      </c>
      <c r="N98" s="40" t="s">
        <v>0</v>
      </c>
      <c r="O98" s="40" t="s">
        <v>0</v>
      </c>
      <c r="P98" s="40" t="s">
        <v>0</v>
      </c>
      <c r="Q98" s="40" t="s">
        <v>0</v>
      </c>
      <c r="R98" s="40" t="s">
        <v>0</v>
      </c>
      <c r="S98" s="40" t="s">
        <v>0</v>
      </c>
      <c r="T98" s="40" t="s">
        <v>0</v>
      </c>
      <c r="U98" s="40" t="s">
        <v>0</v>
      </c>
      <c r="V98" s="40" t="s">
        <v>0</v>
      </c>
      <c r="W98" s="40" t="s">
        <v>0</v>
      </c>
      <c r="X98" s="40" t="s">
        <v>0</v>
      </c>
      <c r="Y98" s="40" t="s">
        <v>0</v>
      </c>
      <c r="Z98" s="40" t="s">
        <v>0</v>
      </c>
      <c r="AA98" s="40" t="s">
        <v>0</v>
      </c>
      <c r="AB98" s="40" t="s">
        <v>0</v>
      </c>
      <c r="AC98" s="40" t="s">
        <v>0</v>
      </c>
      <c r="AD98" s="40" t="s">
        <v>515</v>
      </c>
      <c r="AE98" s="41"/>
      <c r="AF98" s="41"/>
      <c r="AG98" s="42" t="s">
        <v>0</v>
      </c>
      <c r="AH98" s="43" t="s">
        <v>220</v>
      </c>
      <c r="AI98" s="44">
        <v>7256.48</v>
      </c>
      <c r="AJ98" s="45">
        <v>7256.48</v>
      </c>
      <c r="AK98" s="45">
        <v>0</v>
      </c>
      <c r="AL98" s="52">
        <v>0</v>
      </c>
      <c r="AM98" s="45">
        <v>0</v>
      </c>
      <c r="AN98" s="45">
        <v>0</v>
      </c>
      <c r="AO98" s="45">
        <v>0</v>
      </c>
      <c r="AP98" s="45">
        <v>0</v>
      </c>
      <c r="AQ98" s="46">
        <v>7256.48</v>
      </c>
      <c r="AR98" s="46">
        <v>7256.48</v>
      </c>
      <c r="AS98" s="45">
        <f t="shared" ref="AS98:AS101" si="578">SUM(AT98:AW98)</f>
        <v>5701</v>
      </c>
      <c r="AT98" s="45">
        <v>0</v>
      </c>
      <c r="AU98" s="45">
        <v>0</v>
      </c>
      <c r="AV98" s="45">
        <v>0</v>
      </c>
      <c r="AW98" s="45">
        <v>5701</v>
      </c>
      <c r="AX98" s="45">
        <f>SUM(AY98:BB98)</f>
        <v>51170</v>
      </c>
      <c r="AY98" s="45">
        <v>0</v>
      </c>
      <c r="AZ98" s="45">
        <v>0</v>
      </c>
      <c r="BA98" s="45">
        <v>51170</v>
      </c>
      <c r="BB98" s="45"/>
      <c r="BC98" s="45">
        <v>0</v>
      </c>
      <c r="BD98" s="45">
        <v>0</v>
      </c>
      <c r="BE98" s="45">
        <v>0</v>
      </c>
      <c r="BF98" s="45">
        <v>0</v>
      </c>
      <c r="BG98" s="45">
        <v>0</v>
      </c>
      <c r="BH98" s="45">
        <v>0</v>
      </c>
      <c r="BI98" s="45">
        <v>0</v>
      </c>
      <c r="BJ98" s="45">
        <v>0</v>
      </c>
      <c r="BK98" s="45">
        <v>0</v>
      </c>
      <c r="BL98" s="49">
        <v>0</v>
      </c>
      <c r="BM98" s="44">
        <v>7256.48</v>
      </c>
      <c r="BN98" s="45">
        <v>7256.48</v>
      </c>
      <c r="BO98" s="45">
        <v>0</v>
      </c>
      <c r="BP98" s="52">
        <v>0</v>
      </c>
      <c r="BQ98" s="45">
        <v>0</v>
      </c>
      <c r="BR98" s="45">
        <v>0</v>
      </c>
      <c r="BS98" s="45">
        <v>0</v>
      </c>
      <c r="BT98" s="45">
        <v>0</v>
      </c>
      <c r="BU98" s="46">
        <v>7256.48</v>
      </c>
      <c r="BV98" s="47">
        <v>7256.48</v>
      </c>
      <c r="BW98" s="45">
        <v>1170</v>
      </c>
      <c r="BX98" s="45">
        <v>0</v>
      </c>
      <c r="BY98" s="45">
        <v>0</v>
      </c>
      <c r="BZ98" s="45">
        <v>0</v>
      </c>
      <c r="CA98" s="45">
        <f t="shared" ref="CA98:CA100" si="579">BW98</f>
        <v>1170</v>
      </c>
      <c r="CB98" s="45">
        <v>0</v>
      </c>
      <c r="CC98" s="45">
        <v>0</v>
      </c>
      <c r="CD98" s="45">
        <v>0</v>
      </c>
      <c r="CE98" s="45">
        <v>0</v>
      </c>
      <c r="CF98" s="45">
        <f t="shared" ref="CF98:CF100" si="580">CB98</f>
        <v>0</v>
      </c>
      <c r="CG98" s="45">
        <v>0</v>
      </c>
      <c r="CH98" s="45">
        <v>0</v>
      </c>
      <c r="CI98" s="45">
        <v>0</v>
      </c>
      <c r="CJ98" s="45">
        <v>0</v>
      </c>
      <c r="CK98" s="45">
        <v>0</v>
      </c>
      <c r="CL98" s="45">
        <v>0</v>
      </c>
      <c r="CM98" s="45">
        <v>0</v>
      </c>
      <c r="CN98" s="45">
        <v>0</v>
      </c>
      <c r="CO98" s="45">
        <v>0</v>
      </c>
      <c r="CP98" s="49">
        <v>0</v>
      </c>
      <c r="CQ98" s="48">
        <v>7256.48</v>
      </c>
      <c r="CR98" s="46">
        <v>0</v>
      </c>
      <c r="CS98" s="46">
        <v>0</v>
      </c>
      <c r="CT98" s="46">
        <v>0</v>
      </c>
      <c r="CU98" s="47">
        <v>7256.48</v>
      </c>
      <c r="CV98" s="44">
        <v>1170</v>
      </c>
      <c r="CW98" s="45">
        <v>0</v>
      </c>
      <c r="CX98" s="45">
        <v>0</v>
      </c>
      <c r="CY98" s="45">
        <v>0</v>
      </c>
      <c r="CZ98" s="49">
        <f t="shared" ref="CZ98:CZ100" si="581">CV98</f>
        <v>1170</v>
      </c>
      <c r="DA98" s="44">
        <v>0</v>
      </c>
      <c r="DB98" s="45">
        <v>0</v>
      </c>
      <c r="DC98" s="45">
        <v>0</v>
      </c>
      <c r="DD98" s="45">
        <v>0</v>
      </c>
      <c r="DE98" s="49">
        <f t="shared" ref="DE98:DE100" si="582">DA98</f>
        <v>0</v>
      </c>
      <c r="DF98" s="48">
        <v>7256.48</v>
      </c>
      <c r="DG98" s="46">
        <v>0</v>
      </c>
      <c r="DH98" s="46">
        <v>0</v>
      </c>
      <c r="DI98" s="45">
        <v>0</v>
      </c>
      <c r="DJ98" s="46">
        <v>7256.48</v>
      </c>
      <c r="DK98" s="45">
        <v>1170</v>
      </c>
      <c r="DL98" s="45">
        <v>0</v>
      </c>
      <c r="DM98" s="45">
        <v>0</v>
      </c>
      <c r="DN98" s="45">
        <v>0</v>
      </c>
      <c r="DO98" s="45">
        <f t="shared" ref="DO98:DO100" si="583">DK98</f>
        <v>1170</v>
      </c>
      <c r="DP98" s="45">
        <v>0</v>
      </c>
      <c r="DQ98" s="45">
        <v>0</v>
      </c>
      <c r="DR98" s="45">
        <v>0</v>
      </c>
      <c r="DS98" s="45">
        <v>0</v>
      </c>
      <c r="DT98" s="45">
        <f t="shared" ref="DT98:DT100" si="584">DP98</f>
        <v>0</v>
      </c>
      <c r="DU98" s="50" t="s">
        <v>219</v>
      </c>
    </row>
    <row r="99" spans="1:125" customFormat="1" ht="157.5" x14ac:dyDescent="0.2">
      <c r="A99" s="38" t="s">
        <v>382</v>
      </c>
      <c r="B99" s="38" t="s">
        <v>383</v>
      </c>
      <c r="C99" s="39" t="s">
        <v>384</v>
      </c>
      <c r="D99" s="40" t="s">
        <v>427</v>
      </c>
      <c r="E99" s="40" t="s">
        <v>0</v>
      </c>
      <c r="F99" s="40" t="s">
        <v>0</v>
      </c>
      <c r="G99" s="40" t="s">
        <v>0</v>
      </c>
      <c r="H99" s="40" t="s">
        <v>0</v>
      </c>
      <c r="I99" s="40" t="s">
        <v>0</v>
      </c>
      <c r="J99" s="40" t="s">
        <v>0</v>
      </c>
      <c r="K99" s="40" t="s">
        <v>0</v>
      </c>
      <c r="L99" s="40" t="s">
        <v>0</v>
      </c>
      <c r="M99" s="40" t="s">
        <v>0</v>
      </c>
      <c r="N99" s="40" t="s">
        <v>0</v>
      </c>
      <c r="O99" s="40" t="s">
        <v>0</v>
      </c>
      <c r="P99" s="40" t="s">
        <v>0</v>
      </c>
      <c r="Q99" s="40" t="s">
        <v>0</v>
      </c>
      <c r="R99" s="40" t="s">
        <v>0</v>
      </c>
      <c r="S99" s="40" t="s">
        <v>0</v>
      </c>
      <c r="T99" s="40" t="s">
        <v>0</v>
      </c>
      <c r="U99" s="40" t="s">
        <v>0</v>
      </c>
      <c r="V99" s="40" t="s">
        <v>0</v>
      </c>
      <c r="W99" s="40" t="s">
        <v>0</v>
      </c>
      <c r="X99" s="40" t="s">
        <v>0</v>
      </c>
      <c r="Y99" s="40" t="s">
        <v>0</v>
      </c>
      <c r="Z99" s="40" t="s">
        <v>0</v>
      </c>
      <c r="AA99" s="40" t="s">
        <v>0</v>
      </c>
      <c r="AB99" s="40" t="s">
        <v>0</v>
      </c>
      <c r="AC99" s="40" t="s">
        <v>0</v>
      </c>
      <c r="AD99" s="40" t="s">
        <v>515</v>
      </c>
      <c r="AE99" s="41"/>
      <c r="AF99" s="41"/>
      <c r="AG99" s="42" t="s">
        <v>0</v>
      </c>
      <c r="AH99" s="43" t="s">
        <v>177</v>
      </c>
      <c r="AI99" s="44">
        <v>2480.44</v>
      </c>
      <c r="AJ99" s="45">
        <v>2480.44</v>
      </c>
      <c r="AK99" s="45">
        <v>0</v>
      </c>
      <c r="AL99" s="52">
        <v>0</v>
      </c>
      <c r="AM99" s="45">
        <v>0</v>
      </c>
      <c r="AN99" s="45">
        <v>0</v>
      </c>
      <c r="AO99" s="45">
        <v>0</v>
      </c>
      <c r="AP99" s="45">
        <v>0</v>
      </c>
      <c r="AQ99" s="46">
        <v>2480.44</v>
      </c>
      <c r="AR99" s="46">
        <v>2480.44</v>
      </c>
      <c r="AS99" s="45">
        <f t="shared" si="578"/>
        <v>1590.5</v>
      </c>
      <c r="AT99" s="45">
        <v>0</v>
      </c>
      <c r="AU99" s="45">
        <v>0</v>
      </c>
      <c r="AV99" s="45">
        <v>0</v>
      </c>
      <c r="AW99" s="45">
        <v>1590.5</v>
      </c>
      <c r="AX99" s="45">
        <v>400</v>
      </c>
      <c r="AY99" s="45">
        <v>0</v>
      </c>
      <c r="AZ99" s="45">
        <v>0</v>
      </c>
      <c r="BA99" s="45">
        <v>400</v>
      </c>
      <c r="BB99" s="45"/>
      <c r="BC99" s="45">
        <f>SUM(BD99:BG99)</f>
        <v>0</v>
      </c>
      <c r="BD99" s="45">
        <v>0</v>
      </c>
      <c r="BE99" s="45">
        <v>0</v>
      </c>
      <c r="BF99" s="45">
        <v>0</v>
      </c>
      <c r="BG99" s="45"/>
      <c r="BH99" s="45">
        <v>400</v>
      </c>
      <c r="BI99" s="45">
        <v>0</v>
      </c>
      <c r="BJ99" s="45">
        <v>0</v>
      </c>
      <c r="BK99" s="45">
        <v>0</v>
      </c>
      <c r="BL99" s="49">
        <f t="shared" ref="BL99" si="585">BH99</f>
        <v>400</v>
      </c>
      <c r="BM99" s="44">
        <v>2480.44</v>
      </c>
      <c r="BN99" s="45">
        <v>2480.44</v>
      </c>
      <c r="BO99" s="45">
        <v>0</v>
      </c>
      <c r="BP99" s="52">
        <v>0</v>
      </c>
      <c r="BQ99" s="45">
        <v>0</v>
      </c>
      <c r="BR99" s="45">
        <v>0</v>
      </c>
      <c r="BS99" s="45">
        <v>0</v>
      </c>
      <c r="BT99" s="45">
        <v>0</v>
      </c>
      <c r="BU99" s="46">
        <v>2480.44</v>
      </c>
      <c r="BV99" s="47">
        <v>2480.44</v>
      </c>
      <c r="BW99" s="45">
        <v>400</v>
      </c>
      <c r="BX99" s="45">
        <v>0</v>
      </c>
      <c r="BY99" s="45">
        <v>0</v>
      </c>
      <c r="BZ99" s="45">
        <v>0</v>
      </c>
      <c r="CA99" s="45">
        <f t="shared" si="579"/>
        <v>400</v>
      </c>
      <c r="CB99" s="45">
        <v>400</v>
      </c>
      <c r="CC99" s="45">
        <v>0</v>
      </c>
      <c r="CD99" s="45">
        <v>0</v>
      </c>
      <c r="CE99" s="45">
        <v>0</v>
      </c>
      <c r="CF99" s="45">
        <f t="shared" si="580"/>
        <v>400</v>
      </c>
      <c r="CG99" s="45">
        <v>400</v>
      </c>
      <c r="CH99" s="45">
        <v>0</v>
      </c>
      <c r="CI99" s="45">
        <v>0</v>
      </c>
      <c r="CJ99" s="45">
        <v>0</v>
      </c>
      <c r="CK99" s="45">
        <f t="shared" ref="CK99" si="586">CG99</f>
        <v>400</v>
      </c>
      <c r="CL99" s="45">
        <v>400</v>
      </c>
      <c r="CM99" s="45">
        <v>0</v>
      </c>
      <c r="CN99" s="45">
        <v>0</v>
      </c>
      <c r="CO99" s="45">
        <v>0</v>
      </c>
      <c r="CP99" s="49">
        <f t="shared" ref="CP99" si="587">CL99</f>
        <v>400</v>
      </c>
      <c r="CQ99" s="48">
        <v>2480.44</v>
      </c>
      <c r="CR99" s="46">
        <v>0</v>
      </c>
      <c r="CS99" s="46">
        <v>0</v>
      </c>
      <c r="CT99" s="46">
        <v>0</v>
      </c>
      <c r="CU99" s="47">
        <v>2480.44</v>
      </c>
      <c r="CV99" s="44">
        <v>400</v>
      </c>
      <c r="CW99" s="45">
        <v>0</v>
      </c>
      <c r="CX99" s="45">
        <v>0</v>
      </c>
      <c r="CY99" s="45">
        <v>0</v>
      </c>
      <c r="CZ99" s="49">
        <f t="shared" si="581"/>
        <v>400</v>
      </c>
      <c r="DA99" s="44">
        <v>400</v>
      </c>
      <c r="DB99" s="45">
        <v>0</v>
      </c>
      <c r="DC99" s="45">
        <v>0</v>
      </c>
      <c r="DD99" s="45">
        <v>0</v>
      </c>
      <c r="DE99" s="49">
        <f t="shared" si="582"/>
        <v>400</v>
      </c>
      <c r="DF99" s="48">
        <v>2480.44</v>
      </c>
      <c r="DG99" s="46">
        <v>0</v>
      </c>
      <c r="DH99" s="46">
        <v>0</v>
      </c>
      <c r="DI99" s="45">
        <v>0</v>
      </c>
      <c r="DJ99" s="46">
        <v>2480.44</v>
      </c>
      <c r="DK99" s="45">
        <v>400</v>
      </c>
      <c r="DL99" s="45">
        <v>0</v>
      </c>
      <c r="DM99" s="45">
        <v>0</v>
      </c>
      <c r="DN99" s="45">
        <v>0</v>
      </c>
      <c r="DO99" s="45">
        <f t="shared" si="583"/>
        <v>400</v>
      </c>
      <c r="DP99" s="45">
        <v>400</v>
      </c>
      <c r="DQ99" s="45">
        <v>0</v>
      </c>
      <c r="DR99" s="45">
        <v>0</v>
      </c>
      <c r="DS99" s="45">
        <v>0</v>
      </c>
      <c r="DT99" s="45">
        <f t="shared" si="584"/>
        <v>400</v>
      </c>
      <c r="DU99" s="50" t="s">
        <v>219</v>
      </c>
    </row>
    <row r="100" spans="1:125" customFormat="1" ht="157.5" x14ac:dyDescent="0.2">
      <c r="A100" s="38" t="s">
        <v>385</v>
      </c>
      <c r="B100" s="38" t="s">
        <v>386</v>
      </c>
      <c r="C100" s="39" t="s">
        <v>387</v>
      </c>
      <c r="D100" s="40" t="s">
        <v>427</v>
      </c>
      <c r="E100" s="40" t="s">
        <v>0</v>
      </c>
      <c r="F100" s="40" t="s">
        <v>0</v>
      </c>
      <c r="G100" s="40" t="s">
        <v>0</v>
      </c>
      <c r="H100" s="40" t="s">
        <v>0</v>
      </c>
      <c r="I100" s="40" t="s">
        <v>0</v>
      </c>
      <c r="J100" s="40" t="s">
        <v>0</v>
      </c>
      <c r="K100" s="40" t="s">
        <v>0</v>
      </c>
      <c r="L100" s="40" t="s">
        <v>0</v>
      </c>
      <c r="M100" s="40" t="s">
        <v>0</v>
      </c>
      <c r="N100" s="40" t="s">
        <v>0</v>
      </c>
      <c r="O100" s="40" t="s">
        <v>0</v>
      </c>
      <c r="P100" s="40" t="s">
        <v>0</v>
      </c>
      <c r="Q100" s="40" t="s">
        <v>0</v>
      </c>
      <c r="R100" s="40" t="s">
        <v>0</v>
      </c>
      <c r="S100" s="40" t="s">
        <v>0</v>
      </c>
      <c r="T100" s="40" t="s">
        <v>0</v>
      </c>
      <c r="U100" s="40" t="s">
        <v>0</v>
      </c>
      <c r="V100" s="40" t="s">
        <v>0</v>
      </c>
      <c r="W100" s="40" t="s">
        <v>0</v>
      </c>
      <c r="X100" s="40" t="s">
        <v>0</v>
      </c>
      <c r="Y100" s="40" t="s">
        <v>0</v>
      </c>
      <c r="Z100" s="40" t="s">
        <v>0</v>
      </c>
      <c r="AA100" s="40" t="s">
        <v>0</v>
      </c>
      <c r="AB100" s="40" t="s">
        <v>0</v>
      </c>
      <c r="AC100" s="40" t="s">
        <v>0</v>
      </c>
      <c r="AD100" s="40" t="s">
        <v>515</v>
      </c>
      <c r="AE100" s="41"/>
      <c r="AF100" s="41"/>
      <c r="AG100" s="42" t="s">
        <v>0</v>
      </c>
      <c r="AH100" s="43" t="s">
        <v>472</v>
      </c>
      <c r="AI100" s="44">
        <v>67371.61</v>
      </c>
      <c r="AJ100" s="45">
        <v>67371.61</v>
      </c>
      <c r="AK100" s="45">
        <v>0</v>
      </c>
      <c r="AL100" s="52">
        <v>0</v>
      </c>
      <c r="AM100" s="45">
        <v>0</v>
      </c>
      <c r="AN100" s="45">
        <v>0</v>
      </c>
      <c r="AO100" s="45">
        <v>0</v>
      </c>
      <c r="AP100" s="45">
        <v>0</v>
      </c>
      <c r="AQ100" s="46">
        <v>67371.61</v>
      </c>
      <c r="AR100" s="46">
        <v>67371.61</v>
      </c>
      <c r="AS100" s="45">
        <f t="shared" si="578"/>
        <v>46979.6</v>
      </c>
      <c r="AT100" s="45">
        <v>0</v>
      </c>
      <c r="AU100" s="45">
        <v>0</v>
      </c>
      <c r="AV100" s="45">
        <v>0</v>
      </c>
      <c r="AW100" s="45">
        <v>46979.6</v>
      </c>
      <c r="AX100" s="45">
        <f>SUM(AY100:BB100)</f>
        <v>56025.1</v>
      </c>
      <c r="AY100" s="45">
        <v>0</v>
      </c>
      <c r="AZ100" s="45">
        <v>0</v>
      </c>
      <c r="BA100" s="45">
        <v>56025.1</v>
      </c>
      <c r="BB100" s="45"/>
      <c r="BC100" s="53">
        <f>SUM(BD100:BG100)</f>
        <v>0</v>
      </c>
      <c r="BD100" s="45">
        <v>0</v>
      </c>
      <c r="BE100" s="45">
        <v>0</v>
      </c>
      <c r="BF100" s="45">
        <v>0</v>
      </c>
      <c r="BG100" s="45">
        <v>0</v>
      </c>
      <c r="BH100" s="45">
        <v>0</v>
      </c>
      <c r="BI100" s="45">
        <v>0</v>
      </c>
      <c r="BJ100" s="45">
        <v>0</v>
      </c>
      <c r="BK100" s="45">
        <v>0</v>
      </c>
      <c r="BL100" s="49">
        <f>BH100</f>
        <v>0</v>
      </c>
      <c r="BM100" s="44">
        <v>67371.61</v>
      </c>
      <c r="BN100" s="45">
        <v>67371.61</v>
      </c>
      <c r="BO100" s="45">
        <v>0</v>
      </c>
      <c r="BP100" s="52">
        <v>0</v>
      </c>
      <c r="BQ100" s="45">
        <v>0</v>
      </c>
      <c r="BR100" s="45">
        <v>0</v>
      </c>
      <c r="BS100" s="45">
        <v>0</v>
      </c>
      <c r="BT100" s="45">
        <v>0</v>
      </c>
      <c r="BU100" s="46">
        <v>67371.61</v>
      </c>
      <c r="BV100" s="47">
        <v>67371.61</v>
      </c>
      <c r="BW100" s="46">
        <v>11899.96</v>
      </c>
      <c r="BX100" s="45">
        <v>0</v>
      </c>
      <c r="BY100" s="45">
        <v>0</v>
      </c>
      <c r="BZ100" s="45">
        <v>0</v>
      </c>
      <c r="CA100" s="45">
        <f t="shared" si="579"/>
        <v>11899.96</v>
      </c>
      <c r="CB100" s="45">
        <v>0</v>
      </c>
      <c r="CC100" s="45">
        <v>0</v>
      </c>
      <c r="CD100" s="45">
        <v>0</v>
      </c>
      <c r="CE100" s="45">
        <v>0</v>
      </c>
      <c r="CF100" s="45">
        <f t="shared" si="580"/>
        <v>0</v>
      </c>
      <c r="CG100" s="53">
        <v>200070.48</v>
      </c>
      <c r="CH100" s="45">
        <v>0</v>
      </c>
      <c r="CI100" s="45">
        <v>0</v>
      </c>
      <c r="CJ100" s="45">
        <v>0</v>
      </c>
      <c r="CK100" s="45">
        <f>CG100</f>
        <v>200070.48</v>
      </c>
      <c r="CL100" s="45">
        <v>0</v>
      </c>
      <c r="CM100" s="45">
        <v>0</v>
      </c>
      <c r="CN100" s="45">
        <v>0</v>
      </c>
      <c r="CO100" s="45">
        <v>0</v>
      </c>
      <c r="CP100" s="49">
        <f>CL100</f>
        <v>0</v>
      </c>
      <c r="CQ100" s="48">
        <v>67371.61</v>
      </c>
      <c r="CR100" s="46">
        <v>0</v>
      </c>
      <c r="CS100" s="46">
        <v>0</v>
      </c>
      <c r="CT100" s="46">
        <v>0</v>
      </c>
      <c r="CU100" s="47">
        <v>67371.61</v>
      </c>
      <c r="CV100" s="48">
        <v>11899.96</v>
      </c>
      <c r="CW100" s="45">
        <v>0</v>
      </c>
      <c r="CX100" s="45">
        <v>0</v>
      </c>
      <c r="CY100" s="45">
        <v>0</v>
      </c>
      <c r="CZ100" s="49">
        <f t="shared" si="581"/>
        <v>11899.96</v>
      </c>
      <c r="DA100" s="44">
        <v>0</v>
      </c>
      <c r="DB100" s="45">
        <v>0</v>
      </c>
      <c r="DC100" s="45">
        <v>0</v>
      </c>
      <c r="DD100" s="45">
        <v>0</v>
      </c>
      <c r="DE100" s="49">
        <f t="shared" si="582"/>
        <v>0</v>
      </c>
      <c r="DF100" s="48">
        <v>67371.61</v>
      </c>
      <c r="DG100" s="46">
        <v>0</v>
      </c>
      <c r="DH100" s="46">
        <v>0</v>
      </c>
      <c r="DI100" s="45">
        <v>0</v>
      </c>
      <c r="DJ100" s="46">
        <v>67371.61</v>
      </c>
      <c r="DK100" s="46">
        <v>11899.96</v>
      </c>
      <c r="DL100" s="45">
        <v>0</v>
      </c>
      <c r="DM100" s="45">
        <v>0</v>
      </c>
      <c r="DN100" s="45">
        <v>0</v>
      </c>
      <c r="DO100" s="45">
        <f t="shared" si="583"/>
        <v>11899.96</v>
      </c>
      <c r="DP100" s="45">
        <v>0</v>
      </c>
      <c r="DQ100" s="45">
        <v>0</v>
      </c>
      <c r="DR100" s="45">
        <v>0</v>
      </c>
      <c r="DS100" s="45">
        <v>0</v>
      </c>
      <c r="DT100" s="45">
        <f t="shared" si="584"/>
        <v>0</v>
      </c>
      <c r="DU100" s="50" t="s">
        <v>219</v>
      </c>
    </row>
    <row r="101" spans="1:125" s="124" customFormat="1" ht="42" x14ac:dyDescent="0.2">
      <c r="A101" s="38" t="s">
        <v>388</v>
      </c>
      <c r="B101" s="38" t="s">
        <v>389</v>
      </c>
      <c r="C101" s="39" t="s">
        <v>390</v>
      </c>
      <c r="D101" s="38" t="s">
        <v>0</v>
      </c>
      <c r="E101" s="38" t="s">
        <v>0</v>
      </c>
      <c r="F101" s="38" t="s">
        <v>0</v>
      </c>
      <c r="G101" s="38" t="s">
        <v>0</v>
      </c>
      <c r="H101" s="38" t="s">
        <v>0</v>
      </c>
      <c r="I101" s="38" t="s">
        <v>0</v>
      </c>
      <c r="J101" s="38" t="s">
        <v>0</v>
      </c>
      <c r="K101" s="38" t="s">
        <v>0</v>
      </c>
      <c r="L101" s="38" t="s">
        <v>0</v>
      </c>
      <c r="M101" s="38" t="s">
        <v>0</v>
      </c>
      <c r="N101" s="38" t="s">
        <v>0</v>
      </c>
      <c r="O101" s="38" t="s">
        <v>0</v>
      </c>
      <c r="P101" s="38" t="s">
        <v>0</v>
      </c>
      <c r="Q101" s="38" t="s">
        <v>0</v>
      </c>
      <c r="R101" s="38" t="s">
        <v>0</v>
      </c>
      <c r="S101" s="38" t="s">
        <v>0</v>
      </c>
      <c r="T101" s="38" t="s">
        <v>0</v>
      </c>
      <c r="U101" s="38" t="s">
        <v>0</v>
      </c>
      <c r="V101" s="38" t="s">
        <v>0</v>
      </c>
      <c r="W101" s="38" t="s">
        <v>0</v>
      </c>
      <c r="X101" s="38" t="s">
        <v>0</v>
      </c>
      <c r="Y101" s="38" t="s">
        <v>0</v>
      </c>
      <c r="Z101" s="38" t="s">
        <v>0</v>
      </c>
      <c r="AA101" s="38" t="s">
        <v>0</v>
      </c>
      <c r="AB101" s="38" t="s">
        <v>0</v>
      </c>
      <c r="AC101" s="38" t="s">
        <v>0</v>
      </c>
      <c r="AD101" s="38"/>
      <c r="AE101" s="38"/>
      <c r="AF101" s="38"/>
      <c r="AG101" s="39" t="s">
        <v>0</v>
      </c>
      <c r="AH101" s="126" t="s">
        <v>0</v>
      </c>
      <c r="AI101" s="116">
        <v>0</v>
      </c>
      <c r="AJ101" s="117">
        <v>0</v>
      </c>
      <c r="AK101" s="117">
        <v>0</v>
      </c>
      <c r="AL101" s="127">
        <v>0</v>
      </c>
      <c r="AM101" s="117">
        <v>0</v>
      </c>
      <c r="AN101" s="117">
        <v>0</v>
      </c>
      <c r="AO101" s="117">
        <v>0</v>
      </c>
      <c r="AP101" s="117">
        <v>0</v>
      </c>
      <c r="AQ101" s="117">
        <v>0</v>
      </c>
      <c r="AR101" s="117">
        <v>0</v>
      </c>
      <c r="AS101" s="45">
        <f t="shared" si="578"/>
        <v>0</v>
      </c>
      <c r="AT101" s="117">
        <v>0</v>
      </c>
      <c r="AU101" s="117">
        <v>0</v>
      </c>
      <c r="AV101" s="117">
        <v>0</v>
      </c>
      <c r="AW101" s="117">
        <v>0</v>
      </c>
      <c r="AX101" s="117">
        <f>BB101</f>
        <v>0</v>
      </c>
      <c r="AY101" s="117">
        <v>0</v>
      </c>
      <c r="AZ101" s="117">
        <v>0</v>
      </c>
      <c r="BA101" s="117">
        <v>0</v>
      </c>
      <c r="BB101" s="117"/>
      <c r="BC101" s="117">
        <f>BG101</f>
        <v>135136.6</v>
      </c>
      <c r="BD101" s="117">
        <v>0</v>
      </c>
      <c r="BE101" s="117">
        <v>0</v>
      </c>
      <c r="BF101" s="117">
        <v>0</v>
      </c>
      <c r="BG101" s="117">
        <v>135136.6</v>
      </c>
      <c r="BH101" s="117">
        <f>BL101</f>
        <v>158500.20000000001</v>
      </c>
      <c r="BI101" s="117">
        <v>0</v>
      </c>
      <c r="BJ101" s="117">
        <v>0</v>
      </c>
      <c r="BK101" s="117">
        <v>0</v>
      </c>
      <c r="BL101" s="117">
        <v>158500.20000000001</v>
      </c>
      <c r="BM101" s="116">
        <v>0</v>
      </c>
      <c r="BN101" s="117">
        <v>0</v>
      </c>
      <c r="BO101" s="117">
        <v>0</v>
      </c>
      <c r="BP101" s="127">
        <v>0</v>
      </c>
      <c r="BQ101" s="117">
        <v>0</v>
      </c>
      <c r="BR101" s="117">
        <v>0</v>
      </c>
      <c r="BS101" s="117">
        <v>0</v>
      </c>
      <c r="BT101" s="117">
        <v>0</v>
      </c>
      <c r="BU101" s="117">
        <v>0</v>
      </c>
      <c r="BV101" s="118">
        <v>0</v>
      </c>
      <c r="BW101" s="117">
        <v>0</v>
      </c>
      <c r="BX101" s="117">
        <v>0</v>
      </c>
      <c r="BY101" s="117">
        <v>0</v>
      </c>
      <c r="BZ101" s="117">
        <v>0</v>
      </c>
      <c r="CA101" s="117">
        <v>0</v>
      </c>
      <c r="CB101" s="117">
        <f>CF101</f>
        <v>74880</v>
      </c>
      <c r="CC101" s="117">
        <v>0</v>
      </c>
      <c r="CD101" s="117">
        <v>0</v>
      </c>
      <c r="CE101" s="117">
        <v>0</v>
      </c>
      <c r="CF101" s="117">
        <v>74880</v>
      </c>
      <c r="CG101" s="117">
        <f>CK101</f>
        <v>158500.20000000001</v>
      </c>
      <c r="CH101" s="117">
        <v>0</v>
      </c>
      <c r="CI101" s="117">
        <v>0</v>
      </c>
      <c r="CJ101" s="117">
        <v>0</v>
      </c>
      <c r="CK101" s="117">
        <v>158500.20000000001</v>
      </c>
      <c r="CL101" s="117">
        <f>CP101</f>
        <v>158500.20000000001</v>
      </c>
      <c r="CM101" s="117">
        <v>0</v>
      </c>
      <c r="CN101" s="117">
        <v>0</v>
      </c>
      <c r="CO101" s="117">
        <v>0</v>
      </c>
      <c r="CP101" s="117">
        <v>158500.20000000001</v>
      </c>
      <c r="CQ101" s="120">
        <v>0</v>
      </c>
      <c r="CR101" s="121">
        <v>0</v>
      </c>
      <c r="CS101" s="121">
        <v>0</v>
      </c>
      <c r="CT101" s="121">
        <v>0</v>
      </c>
      <c r="CU101" s="122">
        <v>0</v>
      </c>
      <c r="CV101" s="116">
        <v>0</v>
      </c>
      <c r="CW101" s="117">
        <v>0</v>
      </c>
      <c r="CX101" s="117">
        <v>0</v>
      </c>
      <c r="CY101" s="117">
        <v>0</v>
      </c>
      <c r="CZ101" s="118">
        <v>0</v>
      </c>
      <c r="DA101" s="116">
        <f>DE101</f>
        <v>74880</v>
      </c>
      <c r="DB101" s="117">
        <v>0</v>
      </c>
      <c r="DC101" s="117">
        <v>0</v>
      </c>
      <c r="DD101" s="117">
        <v>0</v>
      </c>
      <c r="DE101" s="118">
        <v>74880</v>
      </c>
      <c r="DF101" s="120">
        <v>0</v>
      </c>
      <c r="DG101" s="121">
        <v>0</v>
      </c>
      <c r="DH101" s="121">
        <v>0</v>
      </c>
      <c r="DI101" s="117">
        <v>0</v>
      </c>
      <c r="DJ101" s="121">
        <v>0</v>
      </c>
      <c r="DK101" s="117">
        <v>0</v>
      </c>
      <c r="DL101" s="117">
        <v>0</v>
      </c>
      <c r="DM101" s="117">
        <v>0</v>
      </c>
      <c r="DN101" s="117">
        <v>0</v>
      </c>
      <c r="DO101" s="117">
        <v>0</v>
      </c>
      <c r="DP101" s="117">
        <f>DT101</f>
        <v>74880</v>
      </c>
      <c r="DQ101" s="117">
        <v>0</v>
      </c>
      <c r="DR101" s="117">
        <v>0</v>
      </c>
      <c r="DS101" s="117">
        <v>0</v>
      </c>
      <c r="DT101" s="117">
        <v>74880</v>
      </c>
      <c r="DU101" s="123" t="s">
        <v>219</v>
      </c>
    </row>
    <row r="102" spans="1:125" customFormat="1" ht="13.5" thickBot="1" x14ac:dyDescent="0.25">
      <c r="A102" s="38" t="s">
        <v>0</v>
      </c>
      <c r="B102" s="38" t="s">
        <v>391</v>
      </c>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128"/>
      <c r="AI102" s="129">
        <f>AI11</f>
        <v>5627867.3300000001</v>
      </c>
      <c r="AJ102" s="130">
        <f t="shared" ref="AJ102:BL102" si="588">AJ11</f>
        <v>5086834.1800000006</v>
      </c>
      <c r="AK102" s="130">
        <f t="shared" si="588"/>
        <v>216504.6</v>
      </c>
      <c r="AL102" s="130">
        <f t="shared" si="588"/>
        <v>215618.01</v>
      </c>
      <c r="AM102" s="130">
        <f t="shared" si="588"/>
        <v>1715533.31</v>
      </c>
      <c r="AN102" s="130">
        <f t="shared" si="588"/>
        <v>1710049.18</v>
      </c>
      <c r="AO102" s="130">
        <f t="shared" si="588"/>
        <v>204964.99</v>
      </c>
      <c r="AP102" s="130">
        <f t="shared" si="588"/>
        <v>164820.63</v>
      </c>
      <c r="AQ102" s="130">
        <f t="shared" si="588"/>
        <v>3490864.4299999997</v>
      </c>
      <c r="AR102" s="130">
        <f t="shared" si="588"/>
        <v>2996346.35</v>
      </c>
      <c r="AS102" s="130">
        <f t="shared" si="588"/>
        <v>6726331.3999999985</v>
      </c>
      <c r="AT102" s="130">
        <f t="shared" si="588"/>
        <v>90283.62</v>
      </c>
      <c r="AU102" s="130">
        <f t="shared" si="588"/>
        <v>2020687.77</v>
      </c>
      <c r="AV102" s="130">
        <f t="shared" si="588"/>
        <v>374325.38</v>
      </c>
      <c r="AW102" s="130">
        <f t="shared" si="588"/>
        <v>4241034.629999999</v>
      </c>
      <c r="AX102" s="130">
        <f t="shared" si="588"/>
        <v>6520513.6999999993</v>
      </c>
      <c r="AY102" s="130">
        <f t="shared" si="588"/>
        <v>90306.7</v>
      </c>
      <c r="AZ102" s="130">
        <f t="shared" si="588"/>
        <v>1641906.85</v>
      </c>
      <c r="BA102" s="130">
        <f t="shared" si="588"/>
        <v>1423515.5</v>
      </c>
      <c r="BB102" s="130">
        <f t="shared" si="588"/>
        <v>3364784.65</v>
      </c>
      <c r="BC102" s="130">
        <f>BC11</f>
        <v>4950732.4000000004</v>
      </c>
      <c r="BD102" s="130">
        <f t="shared" si="588"/>
        <v>90150.48</v>
      </c>
      <c r="BE102" s="130">
        <f t="shared" si="588"/>
        <v>1656504.89</v>
      </c>
      <c r="BF102" s="130">
        <f t="shared" si="588"/>
        <v>0</v>
      </c>
      <c r="BG102" s="130">
        <f t="shared" si="588"/>
        <v>3204077.0300000003</v>
      </c>
      <c r="BH102" s="130">
        <f t="shared" si="588"/>
        <v>4917094.3</v>
      </c>
      <c r="BI102" s="130">
        <f t="shared" si="588"/>
        <v>0</v>
      </c>
      <c r="BJ102" s="130">
        <f t="shared" si="588"/>
        <v>1655023.44</v>
      </c>
      <c r="BK102" s="130">
        <f t="shared" si="588"/>
        <v>0</v>
      </c>
      <c r="BL102" s="131">
        <f t="shared" si="588"/>
        <v>3262070.86</v>
      </c>
      <c r="BM102" s="129">
        <f>BM11</f>
        <v>4864545.12</v>
      </c>
      <c r="BN102" s="130">
        <f t="shared" ref="BN102:CP102" si="589">BN11</f>
        <v>4702172.74</v>
      </c>
      <c r="BO102" s="130">
        <f t="shared" si="589"/>
        <v>181540.71000000002</v>
      </c>
      <c r="BP102" s="130">
        <f t="shared" si="589"/>
        <v>180658.66</v>
      </c>
      <c r="BQ102" s="130">
        <f t="shared" si="589"/>
        <v>1645610.26</v>
      </c>
      <c r="BR102" s="130">
        <f t="shared" si="589"/>
        <v>1640129.03</v>
      </c>
      <c r="BS102" s="130">
        <f t="shared" si="589"/>
        <v>72700.69</v>
      </c>
      <c r="BT102" s="130">
        <f t="shared" si="589"/>
        <v>69585.8</v>
      </c>
      <c r="BU102" s="130">
        <f t="shared" si="589"/>
        <v>2964693.4599999995</v>
      </c>
      <c r="BV102" s="131">
        <f t="shared" si="589"/>
        <v>2811799.25</v>
      </c>
      <c r="BW102" s="130">
        <f t="shared" si="589"/>
        <v>4967456.8499999996</v>
      </c>
      <c r="BX102" s="130">
        <f t="shared" si="589"/>
        <v>90541.62999999999</v>
      </c>
      <c r="BY102" s="130">
        <f t="shared" si="589"/>
        <v>1461300.74</v>
      </c>
      <c r="BZ102" s="130">
        <f t="shared" si="589"/>
        <v>283908.81</v>
      </c>
      <c r="CA102" s="130">
        <f t="shared" si="589"/>
        <v>3131705.6699999995</v>
      </c>
      <c r="CB102" s="130">
        <f t="shared" si="589"/>
        <v>4414481.1300000008</v>
      </c>
      <c r="CC102" s="130">
        <f t="shared" si="589"/>
        <v>90150.48</v>
      </c>
      <c r="CD102" s="130">
        <f t="shared" si="589"/>
        <v>1476726.4200000004</v>
      </c>
      <c r="CE102" s="130">
        <f t="shared" si="589"/>
        <v>0</v>
      </c>
      <c r="CF102" s="130">
        <f t="shared" si="589"/>
        <v>2847604.2300000004</v>
      </c>
      <c r="CG102" s="130">
        <f t="shared" si="589"/>
        <v>4756445.4400000004</v>
      </c>
      <c r="CH102" s="130">
        <f t="shared" si="589"/>
        <v>90150.48</v>
      </c>
      <c r="CI102" s="130">
        <f t="shared" si="589"/>
        <v>1503636.9900000002</v>
      </c>
      <c r="CJ102" s="130">
        <f t="shared" si="589"/>
        <v>0</v>
      </c>
      <c r="CK102" s="130">
        <f t="shared" si="589"/>
        <v>3162657.97</v>
      </c>
      <c r="CL102" s="130">
        <f t="shared" si="589"/>
        <v>4556374.9600000009</v>
      </c>
      <c r="CM102" s="130">
        <f t="shared" si="589"/>
        <v>90150.48</v>
      </c>
      <c r="CN102" s="130">
        <f t="shared" si="589"/>
        <v>1503636.9900000002</v>
      </c>
      <c r="CO102" s="130">
        <f t="shared" si="589"/>
        <v>0</v>
      </c>
      <c r="CP102" s="131">
        <f t="shared" si="589"/>
        <v>2962587.49</v>
      </c>
      <c r="CQ102" s="132">
        <v>5627867.3300000001</v>
      </c>
      <c r="CR102" s="133">
        <v>216504.6</v>
      </c>
      <c r="CS102" s="133">
        <v>1715533.31</v>
      </c>
      <c r="CT102" s="133">
        <v>204964.99</v>
      </c>
      <c r="CU102" s="134">
        <v>3490864.4299999997</v>
      </c>
      <c r="CV102" s="129">
        <f t="shared" ref="CV102:DE102" si="590">CV11</f>
        <v>5881642.4699999997</v>
      </c>
      <c r="CW102" s="130">
        <f t="shared" si="590"/>
        <v>90541.62999999999</v>
      </c>
      <c r="CX102" s="130">
        <f t="shared" si="590"/>
        <v>1602619.19</v>
      </c>
      <c r="CY102" s="130">
        <f t="shared" si="590"/>
        <v>5175.8</v>
      </c>
      <c r="CZ102" s="131">
        <f t="shared" si="590"/>
        <v>4183305.8499999996</v>
      </c>
      <c r="DA102" s="129">
        <f t="shared" si="590"/>
        <v>4605977.28</v>
      </c>
      <c r="DB102" s="130">
        <f t="shared" si="590"/>
        <v>90150.48</v>
      </c>
      <c r="DC102" s="130">
        <f t="shared" si="590"/>
        <v>1505642.8900000001</v>
      </c>
      <c r="DD102" s="130">
        <f t="shared" si="590"/>
        <v>0</v>
      </c>
      <c r="DE102" s="131">
        <f t="shared" si="590"/>
        <v>3010183.9100000006</v>
      </c>
      <c r="DF102" s="132">
        <v>4864545.12</v>
      </c>
      <c r="DG102" s="133">
        <v>181540.71000000002</v>
      </c>
      <c r="DH102" s="133">
        <v>1645610.26</v>
      </c>
      <c r="DI102" s="130">
        <f t="shared" ref="DI102" si="591">DI11</f>
        <v>72700.69</v>
      </c>
      <c r="DJ102" s="133">
        <v>2964693.4599999995</v>
      </c>
      <c r="DK102" s="130">
        <f t="shared" ref="DK102:DT102" si="592">DK11</f>
        <v>4967456.8499999996</v>
      </c>
      <c r="DL102" s="130">
        <f t="shared" si="592"/>
        <v>90541.62999999999</v>
      </c>
      <c r="DM102" s="130">
        <f t="shared" si="592"/>
        <v>1461300.74</v>
      </c>
      <c r="DN102" s="130">
        <f t="shared" si="592"/>
        <v>283908.81</v>
      </c>
      <c r="DO102" s="130">
        <f t="shared" si="592"/>
        <v>3131705.6699999995</v>
      </c>
      <c r="DP102" s="130">
        <f t="shared" si="592"/>
        <v>4414481.1300000008</v>
      </c>
      <c r="DQ102" s="130">
        <f t="shared" si="592"/>
        <v>90150.48</v>
      </c>
      <c r="DR102" s="130">
        <f t="shared" si="592"/>
        <v>1476726.4200000004</v>
      </c>
      <c r="DS102" s="130">
        <f t="shared" si="592"/>
        <v>0</v>
      </c>
      <c r="DT102" s="130">
        <f t="shared" si="592"/>
        <v>2847604.2300000004</v>
      </c>
      <c r="DU102" s="135" t="s">
        <v>0</v>
      </c>
    </row>
    <row r="103" spans="1:125" s="136" customFormat="1" x14ac:dyDescent="0.2">
      <c r="AI103" s="137">
        <v>5627867.3300000001</v>
      </c>
      <c r="AJ103" s="137">
        <v>5086834.18</v>
      </c>
      <c r="AK103" s="138">
        <f>AK102+AM102</f>
        <v>1932037.9100000001</v>
      </c>
      <c r="AL103" s="138">
        <f>AL102+AN102</f>
        <v>1925667.19</v>
      </c>
      <c r="AM103" s="138"/>
      <c r="AN103" s="138"/>
      <c r="AO103" s="137">
        <v>204964.99</v>
      </c>
      <c r="AP103" s="137"/>
      <c r="AQ103" s="138"/>
      <c r="AR103" s="138"/>
      <c r="AS103" s="137">
        <v>6726331.4000000004</v>
      </c>
      <c r="AT103" s="137"/>
      <c r="AU103" s="138"/>
      <c r="AV103" s="138"/>
      <c r="AW103" s="138"/>
      <c r="AX103" s="137">
        <v>6520513.7000000002</v>
      </c>
      <c r="AY103" s="137"/>
      <c r="AZ103" s="138"/>
      <c r="BA103" s="138"/>
      <c r="BB103" s="138"/>
      <c r="BC103" s="137">
        <v>4950732.4000000004</v>
      </c>
      <c r="BD103" s="137">
        <v>1746655.4</v>
      </c>
      <c r="BE103" s="138"/>
      <c r="BF103" s="138"/>
      <c r="BG103" s="138"/>
      <c r="BH103" s="137">
        <v>4917094.3</v>
      </c>
      <c r="BI103" s="138"/>
      <c r="BJ103" s="138"/>
      <c r="BK103" s="138"/>
      <c r="BL103" s="138"/>
      <c r="BM103" s="138">
        <f>AI103-643546.6-49668.77-45299.08-24807.76</f>
        <v>4864545.120000001</v>
      </c>
      <c r="BN103" s="138">
        <f>AJ103-273934.39-40620.21-45299.08-24807.76</f>
        <v>4702172.74</v>
      </c>
      <c r="BO103" s="138"/>
      <c r="BP103" s="138"/>
      <c r="BQ103" s="138"/>
      <c r="BR103" s="138"/>
      <c r="BS103" s="138"/>
      <c r="BT103" s="138"/>
      <c r="BU103" s="138"/>
      <c r="BV103" s="138"/>
      <c r="BW103" s="137">
        <f>5881642.47-621451.75-250420.23-16000-26313.64</f>
        <v>4967456.8499999996</v>
      </c>
      <c r="BX103" s="137"/>
      <c r="BY103" s="138"/>
      <c r="BZ103" s="138"/>
      <c r="CA103" s="138"/>
      <c r="CB103" s="137">
        <f>4605977.28-158968.18-6426.4-26101.57</f>
        <v>4414481.13</v>
      </c>
      <c r="CC103" s="137"/>
      <c r="CD103" s="138"/>
      <c r="CE103" s="138"/>
      <c r="CF103" s="138"/>
      <c r="CG103" s="137">
        <f>4808077.34-18905.68-6426.65-26299.57</f>
        <v>4756445.4399999995</v>
      </c>
      <c r="CH103" s="137"/>
      <c r="CI103" s="138"/>
      <c r="CJ103" s="138"/>
      <c r="CK103" s="138"/>
      <c r="CL103" s="137">
        <f>4808077.34-200070.48-18905.68-6426.65-26299.57</f>
        <v>4556374.959999999</v>
      </c>
      <c r="CM103" s="138"/>
      <c r="CN103" s="138"/>
      <c r="CO103" s="138"/>
      <c r="CP103" s="138"/>
      <c r="CQ103" s="138"/>
      <c r="CR103" s="138"/>
      <c r="CS103" s="138"/>
      <c r="CT103" s="138"/>
      <c r="CU103" s="138"/>
      <c r="CV103" s="137">
        <v>5881642.4699999997</v>
      </c>
      <c r="CW103" s="137">
        <v>1693160.82</v>
      </c>
      <c r="CX103" s="138"/>
      <c r="CY103" s="138"/>
      <c r="CZ103" s="138"/>
      <c r="DA103" s="137">
        <v>4605977.28</v>
      </c>
      <c r="DB103" s="137">
        <v>1595793.37</v>
      </c>
      <c r="DC103" s="138"/>
      <c r="DD103" s="138"/>
      <c r="DE103" s="138"/>
      <c r="DF103" s="139">
        <v>4864545.120000001</v>
      </c>
      <c r="DG103" s="138"/>
      <c r="DH103" s="138"/>
      <c r="DI103" s="138"/>
      <c r="DJ103" s="138"/>
      <c r="DK103" s="137">
        <f>5881642.47-621451.75-250420.23-16000-26313.64</f>
        <v>4967456.8499999996</v>
      </c>
      <c r="DL103" s="137"/>
      <c r="DM103" s="138"/>
      <c r="DN103" s="138"/>
      <c r="DO103" s="138"/>
      <c r="DP103" s="137">
        <f>4605977.28-158968.18-6426.4-26101.57</f>
        <v>4414481.13</v>
      </c>
      <c r="DQ103" s="137"/>
      <c r="DR103" s="138"/>
      <c r="DS103" s="138"/>
      <c r="DT103" s="138"/>
    </row>
    <row r="104" spans="1:125" s="136" customFormat="1" x14ac:dyDescent="0.2">
      <c r="AI104" s="138">
        <f>AI103-AI102</f>
        <v>0</v>
      </c>
      <c r="AJ104" s="138">
        <f>AJ103-AJ102</f>
        <v>0</v>
      </c>
      <c r="AK104" s="138">
        <f>1916307.52+442.2+15288.19</f>
        <v>1932037.91</v>
      </c>
      <c r="AL104" s="138">
        <f>1910379+15288.19</f>
        <v>1925667.19</v>
      </c>
      <c r="AM104" s="138"/>
      <c r="AN104" s="138"/>
      <c r="AO104" s="138">
        <f>AO103-AO102</f>
        <v>0</v>
      </c>
      <c r="AP104" s="138"/>
      <c r="AQ104" s="138"/>
      <c r="AR104" s="138"/>
      <c r="AS104" s="138">
        <f>AS102-AS103</f>
        <v>0</v>
      </c>
      <c r="AT104" s="138"/>
      <c r="AU104" s="138"/>
      <c r="AV104" s="138"/>
      <c r="AW104" s="138"/>
      <c r="AX104" s="138">
        <f>AX103-AX102</f>
        <v>0</v>
      </c>
      <c r="AY104" s="138">
        <f>AY103-AY102-AZ102</f>
        <v>-1732213.55</v>
      </c>
      <c r="AZ104" s="138"/>
      <c r="BA104" s="138"/>
      <c r="BB104" s="138"/>
      <c r="BC104" s="138">
        <f>BC103-BC102</f>
        <v>0</v>
      </c>
      <c r="BD104" s="138">
        <f>BD103-BD102-BE102</f>
        <v>3.0000000027939677E-2</v>
      </c>
      <c r="BE104" s="138"/>
      <c r="BF104" s="138"/>
      <c r="BG104" s="138"/>
      <c r="BH104" s="138">
        <f>BH103-BH102</f>
        <v>0</v>
      </c>
      <c r="BI104" s="138"/>
      <c r="BJ104" s="138"/>
      <c r="BK104" s="138"/>
      <c r="BL104" s="138"/>
      <c r="BM104" s="138">
        <f>BM103-BM102</f>
        <v>0</v>
      </c>
      <c r="BN104" s="138">
        <f>BN103-BN102</f>
        <v>0</v>
      </c>
      <c r="BO104" s="138"/>
      <c r="BP104" s="138"/>
      <c r="BQ104" s="138"/>
      <c r="BR104" s="138"/>
      <c r="BS104" s="138"/>
      <c r="BT104" s="138"/>
      <c r="BU104" s="138"/>
      <c r="BV104" s="138"/>
      <c r="BW104" s="138">
        <f>BW103-BW102</f>
        <v>0</v>
      </c>
      <c r="BX104" s="138"/>
      <c r="BY104" s="138"/>
      <c r="BZ104" s="138"/>
      <c r="CA104" s="138"/>
      <c r="CB104" s="138">
        <f>CB103-CB102</f>
        <v>0</v>
      </c>
      <c r="CC104" s="138"/>
      <c r="CD104" s="138"/>
      <c r="CE104" s="138"/>
      <c r="CF104" s="138"/>
      <c r="CG104" s="138">
        <f>CG103-CG102</f>
        <v>0</v>
      </c>
      <c r="CH104" s="138"/>
      <c r="CI104" s="138"/>
      <c r="CJ104" s="138"/>
      <c r="CK104" s="138"/>
      <c r="CL104" s="138">
        <f>CL103-CL102</f>
        <v>0</v>
      </c>
      <c r="CM104" s="138"/>
      <c r="CN104" s="138"/>
      <c r="CO104" s="138"/>
      <c r="CP104" s="138"/>
      <c r="CQ104" s="138"/>
      <c r="CR104" s="138"/>
      <c r="CS104" s="138"/>
      <c r="CT104" s="138"/>
      <c r="CU104" s="138"/>
      <c r="CV104" s="138">
        <f>CV103-CV102</f>
        <v>0</v>
      </c>
      <c r="CW104" s="138"/>
      <c r="CX104" s="138"/>
      <c r="CY104" s="138"/>
      <c r="CZ104" s="138"/>
      <c r="DA104" s="138">
        <f>DA103-DA102</f>
        <v>0</v>
      </c>
      <c r="DB104" s="138">
        <f>DB103-DB102-DC102</f>
        <v>0</v>
      </c>
      <c r="DC104" s="138"/>
      <c r="DD104" s="138"/>
      <c r="DE104" s="138"/>
      <c r="DF104" s="139">
        <v>0</v>
      </c>
      <c r="DG104" s="138"/>
      <c r="DH104" s="138"/>
      <c r="DI104" s="138"/>
      <c r="DJ104" s="138"/>
      <c r="DK104" s="138">
        <f>DK103-DK102</f>
        <v>0</v>
      </c>
      <c r="DL104" s="138"/>
      <c r="DM104" s="138"/>
      <c r="DN104" s="138"/>
      <c r="DO104" s="138"/>
      <c r="DP104" s="138">
        <f>DP103-DP102</f>
        <v>0</v>
      </c>
      <c r="DQ104" s="138"/>
      <c r="DR104" s="138"/>
      <c r="DS104" s="138"/>
      <c r="DT104" s="138"/>
    </row>
    <row r="105" spans="1:125" s="136" customFormat="1" x14ac:dyDescent="0.2">
      <c r="AI105" s="138"/>
      <c r="AJ105" s="138"/>
      <c r="AK105" s="138">
        <f>AK104-AK103</f>
        <v>0</v>
      </c>
      <c r="AL105" s="138">
        <f>AL104-AL103</f>
        <v>0</v>
      </c>
      <c r="AM105" s="138"/>
      <c r="AN105" s="138"/>
      <c r="AO105" s="138"/>
      <c r="AP105" s="138"/>
      <c r="AQ105" s="138"/>
      <c r="AR105" s="138"/>
      <c r="AS105" s="138"/>
      <c r="AT105" s="138"/>
      <c r="AU105" s="138"/>
      <c r="AV105" s="138"/>
      <c r="AW105" s="138"/>
      <c r="AX105" s="138"/>
      <c r="AY105" s="138"/>
      <c r="AZ105" s="138"/>
      <c r="BA105" s="138"/>
      <c r="BB105" s="138"/>
      <c r="BC105" s="138"/>
      <c r="BD105" s="138"/>
      <c r="BE105" s="138"/>
      <c r="BF105" s="138"/>
      <c r="BG105" s="138"/>
      <c r="BH105" s="138"/>
      <c r="BI105" s="138"/>
      <c r="BJ105" s="138"/>
      <c r="BK105" s="138"/>
      <c r="BL105" s="138"/>
      <c r="BM105" s="140"/>
      <c r="BN105" s="140"/>
      <c r="BO105" s="140"/>
      <c r="BP105" s="140"/>
      <c r="BQ105" s="140"/>
      <c r="BR105" s="140"/>
      <c r="BS105" s="140"/>
      <c r="BT105" s="140"/>
      <c r="BU105" s="140"/>
      <c r="BV105" s="140"/>
      <c r="BW105" s="140"/>
      <c r="BX105" s="140"/>
      <c r="BY105" s="140"/>
      <c r="BZ105" s="140"/>
      <c r="CA105" s="140"/>
      <c r="CB105" s="140"/>
      <c r="CC105" s="140"/>
      <c r="CD105" s="140"/>
      <c r="CE105" s="140"/>
      <c r="CF105" s="140"/>
      <c r="CG105" s="138"/>
      <c r="CH105" s="138"/>
      <c r="CI105" s="138"/>
      <c r="CJ105" s="138"/>
      <c r="CK105" s="138"/>
      <c r="CL105" s="138"/>
      <c r="CM105" s="138"/>
      <c r="CN105" s="138"/>
      <c r="CO105" s="138"/>
      <c r="CP105" s="138"/>
      <c r="CQ105" s="138"/>
      <c r="CR105" s="138"/>
      <c r="CS105" s="138"/>
      <c r="CT105" s="138"/>
      <c r="CU105" s="138"/>
      <c r="CV105" s="138"/>
      <c r="CW105" s="138"/>
      <c r="CX105" s="138"/>
      <c r="CY105" s="138"/>
      <c r="CZ105" s="138"/>
      <c r="DA105" s="138"/>
      <c r="DB105" s="138"/>
      <c r="DC105" s="138"/>
      <c r="DD105" s="138"/>
      <c r="DE105" s="138"/>
      <c r="DF105" s="138"/>
      <c r="DG105" s="138"/>
      <c r="DH105" s="138"/>
      <c r="DI105" s="138"/>
      <c r="DJ105" s="138"/>
      <c r="DK105" s="138"/>
      <c r="DL105" s="138"/>
      <c r="DM105" s="138"/>
      <c r="DN105" s="138"/>
      <c r="DO105" s="138"/>
      <c r="DP105" s="138"/>
      <c r="DQ105" s="138"/>
      <c r="DR105" s="138"/>
      <c r="DS105" s="138"/>
      <c r="DT105" s="138"/>
    </row>
    <row r="106" spans="1:125" s="136" customFormat="1" x14ac:dyDescent="0.2">
      <c r="AI106" s="138"/>
      <c r="AJ106" s="138"/>
      <c r="AK106" s="138"/>
      <c r="AL106" s="138"/>
      <c r="AM106" s="138"/>
      <c r="AN106" s="138"/>
      <c r="AO106" s="138"/>
      <c r="AP106" s="138"/>
      <c r="AQ106" s="138"/>
      <c r="AR106" s="138"/>
      <c r="AS106" s="138"/>
      <c r="AT106" s="138"/>
      <c r="AU106" s="138"/>
      <c r="AV106" s="138"/>
      <c r="AW106" s="138"/>
      <c r="AX106" s="138"/>
      <c r="AY106" s="138"/>
      <c r="AZ106" s="138"/>
      <c r="BA106" s="138"/>
      <c r="BB106" s="138"/>
      <c r="BC106" s="138"/>
      <c r="BD106" s="138"/>
      <c r="BE106" s="138"/>
      <c r="BF106" s="138"/>
      <c r="BG106" s="138"/>
      <c r="BH106" s="138"/>
      <c r="BI106" s="138"/>
      <c r="BJ106" s="138"/>
      <c r="BK106" s="138"/>
      <c r="BL106" s="138"/>
      <c r="BM106" s="140"/>
      <c r="BN106" s="140"/>
      <c r="BO106" s="140"/>
      <c r="BP106" s="140"/>
      <c r="BQ106" s="140"/>
      <c r="BR106" s="140"/>
      <c r="BS106" s="140"/>
      <c r="BT106" s="140"/>
      <c r="BU106" s="140"/>
      <c r="BV106" s="140"/>
      <c r="BW106" s="140"/>
      <c r="BX106" s="140"/>
      <c r="BY106" s="140"/>
      <c r="BZ106" s="140"/>
      <c r="CA106" s="140"/>
      <c r="CB106" s="140"/>
      <c r="CC106" s="140"/>
      <c r="CD106" s="140"/>
      <c r="CE106" s="140"/>
      <c r="CF106" s="140"/>
      <c r="CG106" s="138"/>
      <c r="CH106" s="138"/>
      <c r="CI106" s="138"/>
      <c r="CJ106" s="138"/>
      <c r="CK106" s="138"/>
      <c r="CL106" s="138"/>
      <c r="CM106" s="138"/>
      <c r="CN106" s="138"/>
      <c r="CO106" s="138"/>
      <c r="CP106" s="138"/>
      <c r="CQ106" s="138"/>
      <c r="CR106" s="138"/>
      <c r="CS106" s="138"/>
      <c r="CT106" s="138"/>
      <c r="CU106" s="138"/>
      <c r="CV106" s="138"/>
      <c r="CW106" s="138"/>
      <c r="CX106" s="138"/>
      <c r="CY106" s="138"/>
      <c r="CZ106" s="138"/>
      <c r="DA106" s="138"/>
      <c r="DB106" s="138"/>
      <c r="DC106" s="138"/>
      <c r="DD106" s="138"/>
      <c r="DE106" s="138"/>
      <c r="DF106" s="138"/>
      <c r="DG106" s="138"/>
      <c r="DH106" s="138"/>
      <c r="DI106" s="138"/>
      <c r="DJ106" s="138"/>
      <c r="DK106" s="138"/>
      <c r="DL106" s="138"/>
      <c r="DM106" s="138"/>
      <c r="DN106" s="138"/>
      <c r="DO106" s="138"/>
      <c r="DP106" s="138"/>
      <c r="DQ106" s="138"/>
      <c r="DR106" s="138"/>
      <c r="DS106" s="138"/>
      <c r="DT106" s="138"/>
    </row>
    <row r="107" spans="1:125" s="136" customFormat="1" x14ac:dyDescent="0.2">
      <c r="AI107" s="138"/>
      <c r="AJ107" s="138"/>
      <c r="AK107" s="138"/>
      <c r="AL107" s="138"/>
      <c r="AM107" s="138"/>
      <c r="AN107" s="138"/>
      <c r="AO107" s="138"/>
      <c r="AP107" s="138"/>
      <c r="AQ107" s="138"/>
      <c r="AR107" s="138"/>
      <c r="AS107" s="138"/>
      <c r="AT107" s="138">
        <f>AT102+AU102</f>
        <v>2110971.39</v>
      </c>
      <c r="AU107" s="138"/>
      <c r="AV107" s="138"/>
      <c r="AW107" s="138"/>
      <c r="AX107" s="138"/>
      <c r="AY107" s="138"/>
      <c r="AZ107" s="138"/>
      <c r="BA107" s="138"/>
      <c r="BB107" s="138"/>
      <c r="BC107" s="138"/>
      <c r="BD107" s="138"/>
      <c r="BE107" s="138"/>
      <c r="BF107" s="138"/>
      <c r="BG107" s="138"/>
      <c r="BH107" s="138"/>
      <c r="BI107" s="138"/>
      <c r="BJ107" s="138"/>
      <c r="BK107" s="138"/>
      <c r="BL107" s="138"/>
      <c r="BM107" s="140"/>
      <c r="BN107" s="140"/>
      <c r="BO107" s="140"/>
      <c r="BP107" s="140"/>
      <c r="BQ107" s="140"/>
      <c r="BR107" s="140"/>
      <c r="BS107" s="140"/>
      <c r="BT107" s="140"/>
      <c r="BU107" s="140"/>
      <c r="BV107" s="140"/>
      <c r="BW107" s="140"/>
      <c r="BX107" s="140"/>
      <c r="BY107" s="140"/>
      <c r="BZ107" s="140"/>
      <c r="CA107" s="140"/>
      <c r="CB107" s="140"/>
      <c r="CC107" s="140"/>
      <c r="CD107" s="140"/>
      <c r="CE107" s="140"/>
      <c r="CF107" s="140"/>
      <c r="CG107" s="138"/>
      <c r="CH107" s="138"/>
      <c r="CI107" s="138"/>
      <c r="CJ107" s="138"/>
      <c r="CK107" s="138"/>
      <c r="CL107" s="138"/>
      <c r="CM107" s="138"/>
      <c r="CN107" s="138"/>
      <c r="CO107" s="138"/>
      <c r="CP107" s="138"/>
      <c r="CQ107" s="138"/>
      <c r="CR107" s="138"/>
      <c r="CS107" s="138"/>
      <c r="CT107" s="138"/>
      <c r="CU107" s="138"/>
      <c r="CV107" s="138"/>
      <c r="CW107" s="138"/>
      <c r="CX107" s="138"/>
      <c r="CY107" s="138"/>
      <c r="CZ107" s="138"/>
      <c r="DA107" s="138"/>
      <c r="DB107" s="138"/>
      <c r="DC107" s="138"/>
      <c r="DD107" s="138"/>
      <c r="DE107" s="138"/>
      <c r="DF107" s="138"/>
      <c r="DG107" s="138"/>
      <c r="DH107" s="138"/>
      <c r="DI107" s="138"/>
      <c r="DJ107" s="138"/>
      <c r="DK107" s="138"/>
      <c r="DL107" s="138"/>
      <c r="DM107" s="138"/>
      <c r="DN107" s="138"/>
      <c r="DO107" s="138"/>
      <c r="DP107" s="138"/>
      <c r="DQ107" s="138"/>
      <c r="DR107" s="138"/>
      <c r="DS107" s="138"/>
      <c r="DT107" s="138"/>
    </row>
    <row r="108" spans="1:125" s="141" customFormat="1" ht="31.5" customHeight="1" x14ac:dyDescent="0.2">
      <c r="B108" s="159"/>
      <c r="C108" s="159"/>
      <c r="G108" s="142"/>
      <c r="AI108" s="143"/>
      <c r="AJ108" s="143"/>
      <c r="AK108" s="143"/>
      <c r="AL108" s="143"/>
      <c r="AM108" s="143"/>
      <c r="AN108" s="143"/>
      <c r="AO108" s="143"/>
      <c r="AP108" s="143"/>
      <c r="AQ108" s="143"/>
      <c r="AR108" s="143"/>
      <c r="AS108" s="143"/>
      <c r="AT108" s="143">
        <v>2110971.4</v>
      </c>
      <c r="AU108" s="143"/>
      <c r="AV108" s="143"/>
      <c r="AW108" s="143"/>
      <c r="AX108" s="143"/>
      <c r="AY108" s="143"/>
      <c r="AZ108" s="143"/>
      <c r="BA108" s="143"/>
      <c r="BB108" s="143"/>
      <c r="BC108" s="143"/>
      <c r="BD108" s="143"/>
      <c r="BE108" s="143"/>
      <c r="BF108" s="143"/>
      <c r="BG108" s="143"/>
      <c r="BH108" s="143"/>
      <c r="BI108" s="143"/>
      <c r="BJ108" s="143"/>
      <c r="BK108" s="143"/>
      <c r="BL108" s="143"/>
      <c r="BM108" s="144"/>
      <c r="BN108" s="144"/>
      <c r="BO108" s="144"/>
      <c r="BP108" s="144"/>
      <c r="BQ108" s="144"/>
      <c r="BR108" s="144"/>
      <c r="BS108" s="144"/>
      <c r="BT108" s="144"/>
      <c r="BU108" s="144"/>
      <c r="BV108" s="144"/>
      <c r="BW108" s="144"/>
      <c r="BX108" s="144"/>
      <c r="BY108" s="144"/>
      <c r="BZ108" s="144"/>
      <c r="CA108" s="144"/>
      <c r="CB108" s="144"/>
      <c r="CC108" s="144"/>
      <c r="CD108" s="144"/>
      <c r="CE108" s="144"/>
      <c r="CF108" s="144"/>
      <c r="CG108" s="143"/>
      <c r="CH108" s="143"/>
      <c r="CI108" s="143"/>
      <c r="CJ108" s="143"/>
      <c r="CK108" s="143"/>
      <c r="CL108" s="143"/>
      <c r="CM108" s="143"/>
      <c r="CN108" s="143"/>
      <c r="CO108" s="143"/>
      <c r="CP108" s="143"/>
      <c r="CQ108" s="143"/>
      <c r="CR108" s="143"/>
      <c r="CS108" s="143"/>
      <c r="CT108" s="143"/>
      <c r="CU108" s="143"/>
      <c r="CV108" s="143"/>
      <c r="CW108" s="143"/>
      <c r="CX108" s="143"/>
      <c r="CY108" s="143"/>
      <c r="CZ108" s="143"/>
      <c r="DA108" s="143"/>
      <c r="DB108" s="143"/>
      <c r="DC108" s="143"/>
      <c r="DD108" s="143"/>
      <c r="DE108" s="143"/>
      <c r="DF108" s="143"/>
      <c r="DG108" s="143"/>
      <c r="DH108" s="143"/>
      <c r="DI108" s="143"/>
      <c r="DJ108" s="143"/>
      <c r="DK108" s="143"/>
      <c r="DL108" s="143"/>
      <c r="DM108" s="143"/>
      <c r="DN108" s="143"/>
      <c r="DO108" s="143"/>
      <c r="DP108" s="143"/>
      <c r="DQ108" s="143"/>
      <c r="DR108" s="143"/>
      <c r="DS108" s="143"/>
      <c r="DT108" s="143"/>
    </row>
    <row r="109" spans="1:125" x14ac:dyDescent="0.2">
      <c r="AT109" s="145">
        <f>AT107-AT108</f>
        <v>-9.9999997764825821E-3</v>
      </c>
    </row>
    <row r="112" spans="1:125" x14ac:dyDescent="0.2">
      <c r="B112" s="147"/>
    </row>
  </sheetData>
  <autoFilter ref="A10:DU104"/>
  <mergeCells count="111">
    <mergeCell ref="DB8:DB9"/>
    <mergeCell ref="DC8:DC9"/>
    <mergeCell ref="DD8:DD9"/>
    <mergeCell ref="DE8:DE9"/>
    <mergeCell ref="DF8:DF9"/>
    <mergeCell ref="DG8:DG9"/>
    <mergeCell ref="DH8:DH9"/>
    <mergeCell ref="DI8:DI9"/>
    <mergeCell ref="DJ8:DJ9"/>
    <mergeCell ref="DT8:DT9"/>
    <mergeCell ref="DK8:DK9"/>
    <mergeCell ref="DL8:DL9"/>
    <mergeCell ref="DM8:DM9"/>
    <mergeCell ref="DN8:DN9"/>
    <mergeCell ref="DO8:DO9"/>
    <mergeCell ref="DP8:DP9"/>
    <mergeCell ref="DQ8:DQ9"/>
    <mergeCell ref="DR8:DR9"/>
    <mergeCell ref="DS8:DS9"/>
    <mergeCell ref="CC8:CC9"/>
    <mergeCell ref="CU8:CU9"/>
    <mergeCell ref="CV8:CV9"/>
    <mergeCell ref="BM8:BN8"/>
    <mergeCell ref="BO8:BP8"/>
    <mergeCell ref="BQ8:BR8"/>
    <mergeCell ref="BS8:BT8"/>
    <mergeCell ref="CA8:CA9"/>
    <mergeCell ref="B2:T2"/>
    <mergeCell ref="B3:T3"/>
    <mergeCell ref="CS8:CS9"/>
    <mergeCell ref="CT8:CT9"/>
    <mergeCell ref="CX8:CX9"/>
    <mergeCell ref="CY8:CY9"/>
    <mergeCell ref="CZ8:CZ9"/>
    <mergeCell ref="DA8:DA9"/>
    <mergeCell ref="CD8:CD9"/>
    <mergeCell ref="CE8:CE9"/>
    <mergeCell ref="CF8:CF9"/>
    <mergeCell ref="CG8:CG9"/>
    <mergeCell ref="CH8:CK8"/>
    <mergeCell ref="CL8:CL9"/>
    <mergeCell ref="CM8:CP8"/>
    <mergeCell ref="CQ8:CQ9"/>
    <mergeCell ref="CR8:CR9"/>
    <mergeCell ref="CW8:CW9"/>
    <mergeCell ref="DF5:DT5"/>
    <mergeCell ref="DU5:DU9"/>
    <mergeCell ref="D6:W7"/>
    <mergeCell ref="X6:AC7"/>
    <mergeCell ref="AI6:AR7"/>
    <mergeCell ref="AS6:AW7"/>
    <mergeCell ref="AX6:BB7"/>
    <mergeCell ref="BC6:BL7"/>
    <mergeCell ref="BM6:BV7"/>
    <mergeCell ref="BW6:CA7"/>
    <mergeCell ref="CB6:CF7"/>
    <mergeCell ref="CG6:CP7"/>
    <mergeCell ref="CQ6:CU7"/>
    <mergeCell ref="CV6:CZ7"/>
    <mergeCell ref="DA6:DE7"/>
    <mergeCell ref="DF6:DJ7"/>
    <mergeCell ref="DK6:DO7"/>
    <mergeCell ref="DP6:DT7"/>
    <mergeCell ref="D8:F8"/>
    <mergeCell ref="G8:J8"/>
    <mergeCell ref="BY8:BY9"/>
    <mergeCell ref="BZ8:BZ9"/>
    <mergeCell ref="K8:M8"/>
    <mergeCell ref="CB8:CB9"/>
    <mergeCell ref="A1:B1"/>
    <mergeCell ref="D1:AH1"/>
    <mergeCell ref="AI1:DU1"/>
    <mergeCell ref="A5:A8"/>
    <mergeCell ref="B5:B8"/>
    <mergeCell ref="C5:C8"/>
    <mergeCell ref="D5:AC5"/>
    <mergeCell ref="AG5:AG9"/>
    <mergeCell ref="AH5:AH8"/>
    <mergeCell ref="AI5:BL5"/>
    <mergeCell ref="BM5:CP5"/>
    <mergeCell ref="CQ5:DE5"/>
    <mergeCell ref="X8:Z8"/>
    <mergeCell ref="AA8:AC8"/>
    <mergeCell ref="AI8:AJ8"/>
    <mergeCell ref="AK8:AL8"/>
    <mergeCell ref="AM8:AN8"/>
    <mergeCell ref="AS8:AS9"/>
    <mergeCell ref="AT8:AT9"/>
    <mergeCell ref="A4:C4"/>
    <mergeCell ref="BU8:BV8"/>
    <mergeCell ref="BW8:BW9"/>
    <mergeCell ref="BX8:BX9"/>
    <mergeCell ref="BI8:BL8"/>
    <mergeCell ref="B108:C108"/>
    <mergeCell ref="N8:Q8"/>
    <mergeCell ref="R8:T8"/>
    <mergeCell ref="U8:W8"/>
    <mergeCell ref="BA8:BA9"/>
    <mergeCell ref="BB8:BB9"/>
    <mergeCell ref="BC8:BC9"/>
    <mergeCell ref="BD8:BG8"/>
    <mergeCell ref="BH8:BH9"/>
    <mergeCell ref="AY8:AY9"/>
    <mergeCell ref="AZ8:AZ9"/>
    <mergeCell ref="AO8:AP8"/>
    <mergeCell ref="AQ8:AR8"/>
    <mergeCell ref="AU8:AU9"/>
    <mergeCell ref="AV8:AV9"/>
    <mergeCell ref="AW8:AW9"/>
    <mergeCell ref="AX8:AX9"/>
    <mergeCell ref="AD6:AF8"/>
  </mergeCells>
  <pageMargins left="0.19685039370078741" right="0.19685039370078741" top="0.19685039370078741" bottom="0.19685039370078741" header="0.31496062992125984" footer="0.31496062992125984"/>
  <pageSetup paperSize="9" scale="49" orientation="portrait" r:id="rId1"/>
  <colBreaks count="1" manualBreakCount="1">
    <brk id="98" max="10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Table1</vt:lpstr>
      <vt:lpstr>Table1!Заголовки_для_печати</vt:lpstr>
      <vt:lpstr>Table1!Область_печати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2024-11-20T02:36:12Z</dcterms:modified>
</cp:coreProperties>
</file>