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05" windowWidth="14805" windowHeight="5910"/>
  </bookViews>
  <sheets>
    <sheet name="Исправленное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W543" i="2" l="1"/>
  <c r="W475" i="2"/>
  <c r="W469" i="2"/>
  <c r="W445" i="2"/>
  <c r="W436" i="2"/>
  <c r="W431" i="2"/>
  <c r="W426" i="2"/>
  <c r="W370" i="2"/>
  <c r="W348" i="2"/>
  <c r="W350" i="2"/>
  <c r="W306" i="2"/>
  <c r="W261" i="2"/>
  <c r="W188" i="2"/>
  <c r="W155" i="2"/>
  <c r="W167" i="2"/>
  <c r="W150" i="2"/>
  <c r="W144" i="2"/>
  <c r="W130" i="2"/>
  <c r="W138" i="2"/>
  <c r="W123" i="2"/>
  <c r="W94" i="2"/>
  <c r="W75" i="2"/>
  <c r="W70" i="2"/>
  <c r="W65" i="2"/>
  <c r="W53" i="2"/>
  <c r="W55" i="2"/>
  <c r="W45" i="2"/>
  <c r="W12" i="2"/>
  <c r="W215" i="2" l="1"/>
  <c r="W424" i="2" l="1"/>
  <c r="W439" i="2"/>
  <c r="W452" i="2"/>
  <c r="W465" i="2"/>
  <c r="W460" i="2"/>
  <c r="W471" i="2"/>
  <c r="W470" i="2"/>
  <c r="W477" i="2"/>
  <c r="W476" i="2"/>
  <c r="W427" i="2"/>
  <c r="W486" i="2"/>
  <c r="W455" i="2"/>
  <c r="W400" i="2"/>
  <c r="AB562" i="2" l="1"/>
  <c r="AB560" i="2" s="1"/>
  <c r="AB559" i="2" s="1"/>
  <c r="AB558" i="2" s="1"/>
  <c r="AB556" i="2" s="1"/>
  <c r="AB553" i="2"/>
  <c r="AB552" i="2"/>
  <c r="AB551" i="2"/>
  <c r="AB550" i="2"/>
  <c r="AB548" i="2"/>
  <c r="AB545" i="2"/>
  <c r="AB542" i="2"/>
  <c r="AB534" i="2" s="1"/>
  <c r="AB540" i="2"/>
  <c r="AB526" i="2"/>
  <c r="AB525" i="2"/>
  <c r="AB524" i="2"/>
  <c r="AB523" i="2"/>
  <c r="AB516" i="2" s="1"/>
  <c r="AB513" i="2" s="1"/>
  <c r="AB512" i="2" s="1"/>
  <c r="AB511" i="2" s="1"/>
  <c r="AB518" i="2"/>
  <c r="AB515" i="2"/>
  <c r="AB514" i="2"/>
  <c r="AB509" i="2"/>
  <c r="AB508" i="2"/>
  <c r="AB505" i="2"/>
  <c r="AB500" i="2"/>
  <c r="AB499" i="2"/>
  <c r="AB497" i="2" s="1"/>
  <c r="AB494" i="2"/>
  <c r="AB491" i="2"/>
  <c r="AB489" i="2"/>
  <c r="AB487" i="2"/>
  <c r="AB484" i="2"/>
  <c r="AB479" i="2"/>
  <c r="AB478" i="2"/>
  <c r="AB471" i="2"/>
  <c r="AB470" i="2"/>
  <c r="AB469" i="2" s="1"/>
  <c r="AB467" i="2"/>
  <c r="AB465" i="2"/>
  <c r="AB464" i="2"/>
  <c r="AB456" i="2"/>
  <c r="AB454" i="2"/>
  <c r="AB445" i="2" s="1"/>
  <c r="AB448" i="2"/>
  <c r="AB436" i="2"/>
  <c r="AB431" i="2"/>
  <c r="AB426" i="2"/>
  <c r="AB425" i="2"/>
  <c r="AB423" i="2"/>
  <c r="AB422" i="2"/>
  <c r="AB413" i="2"/>
  <c r="AB410" i="2"/>
  <c r="AB408" i="2"/>
  <c r="AB407" i="2"/>
  <c r="AB402" i="2"/>
  <c r="AB395" i="2"/>
  <c r="AB393" i="2"/>
  <c r="AB391" i="2"/>
  <c r="AB390" i="2"/>
  <c r="AB387" i="2"/>
  <c r="AB385" i="2"/>
  <c r="AB383" i="2"/>
  <c r="AB381" i="2" s="1"/>
  <c r="AB378" i="2"/>
  <c r="AB377" i="2"/>
  <c r="AB376" i="2"/>
  <c r="AB370" i="2"/>
  <c r="AB369" i="2"/>
  <c r="AB368" i="2"/>
  <c r="AB367" i="2"/>
  <c r="AB366" i="2"/>
  <c r="AB360" i="2"/>
  <c r="AB355" i="2"/>
  <c r="AB350" i="2"/>
  <c r="AB348" i="2" s="1"/>
  <c r="AB344" i="2"/>
  <c r="AB343" i="2"/>
  <c r="AB342" i="2"/>
  <c r="AB340" i="2"/>
  <c r="AB339" i="2"/>
  <c r="AB338" i="2"/>
  <c r="AB336" i="2"/>
  <c r="AB334" i="2"/>
  <c r="AB333" i="2"/>
  <c r="AB328" i="2"/>
  <c r="AB326" i="2"/>
  <c r="AB325" i="2"/>
  <c r="AB324" i="2"/>
  <c r="AB323" i="2"/>
  <c r="AB313" i="2"/>
  <c r="AB312" i="2"/>
  <c r="AB311" i="2"/>
  <c r="AB310" i="2"/>
  <c r="AB309" i="2"/>
  <c r="AB308" i="2"/>
  <c r="AB307" i="2"/>
  <c r="AB305" i="2"/>
  <c r="AB304" i="2"/>
  <c r="AB299" i="2"/>
  <c r="AB298" i="2"/>
  <c r="AB295" i="2"/>
  <c r="AB294" i="2" s="1"/>
  <c r="AB293" i="2"/>
  <c r="AB292" i="2"/>
  <c r="AB284" i="2"/>
  <c r="AB283" i="2" s="1"/>
  <c r="AB280" i="2"/>
  <c r="AB279" i="2"/>
  <c r="AB278" i="2"/>
  <c r="AB277" i="2"/>
  <c r="AB276" i="2"/>
  <c r="AB275" i="2"/>
  <c r="AB261" i="2"/>
  <c r="AB260" i="2"/>
  <c r="AB255" i="2" s="1"/>
  <c r="AB259" i="2"/>
  <c r="AB257" i="2"/>
  <c r="AB252" i="2"/>
  <c r="AB251" i="2"/>
  <c r="AB250" i="2"/>
  <c r="AB248" i="2"/>
  <c r="AB247" i="2"/>
  <c r="AB246" i="2"/>
  <c r="AB245" i="2"/>
  <c r="AB244" i="2"/>
  <c r="AB243" i="2"/>
  <c r="AB237" i="2"/>
  <c r="AB236" i="2" s="1"/>
  <c r="AB235" i="2" s="1"/>
  <c r="AB234" i="2" s="1"/>
  <c r="AB233" i="2" s="1"/>
  <c r="AB231" i="2"/>
  <c r="AB230" i="2"/>
  <c r="AB224" i="2"/>
  <c r="AB215" i="2" s="1"/>
  <c r="AB212" i="2" s="1"/>
  <c r="AB223" i="2"/>
  <c r="AB221" i="2"/>
  <c r="AB219" i="2"/>
  <c r="AB218" i="2"/>
  <c r="AB216" i="2"/>
  <c r="AB213" i="2"/>
  <c r="AB209" i="2"/>
  <c r="AB208" i="2"/>
  <c r="AB207" i="2"/>
  <c r="AB206" i="2"/>
  <c r="AB205" i="2"/>
  <c r="AB204" i="2"/>
  <c r="AB201" i="2"/>
  <c r="AB196" i="2" s="1"/>
  <c r="AB200" i="2"/>
  <c r="AB199" i="2"/>
  <c r="AB198" i="2"/>
  <c r="AB197" i="2"/>
  <c r="AB192" i="2"/>
  <c r="AB191" i="2" s="1"/>
  <c r="AB189" i="2" s="1"/>
  <c r="AB182" i="2"/>
  <c r="AB181" i="2"/>
  <c r="AB179" i="2"/>
  <c r="AB177" i="2"/>
  <c r="AB170" i="2"/>
  <c r="AB167" i="2" s="1"/>
  <c r="AB155" i="2" s="1"/>
  <c r="AB168" i="2"/>
  <c r="AB159" i="2"/>
  <c r="AB156" i="2"/>
  <c r="AB150" i="2"/>
  <c r="AB144" i="2"/>
  <c r="AB142" i="2"/>
  <c r="AB140" i="2"/>
  <c r="AB138" i="2" s="1"/>
  <c r="AB136" i="2"/>
  <c r="AB130" i="2" s="1"/>
  <c r="AB132" i="2"/>
  <c r="AB123" i="2"/>
  <c r="AB118" i="2"/>
  <c r="AB117" i="2"/>
  <c r="AB116" i="2"/>
  <c r="AB115" i="2"/>
  <c r="AB114" i="2"/>
  <c r="AB113" i="2"/>
  <c r="AB112" i="2"/>
  <c r="AB111" i="2"/>
  <c r="AB110" i="2"/>
  <c r="AB109" i="2"/>
  <c r="AB108" i="2"/>
  <c r="AB106" i="2"/>
  <c r="AB105" i="2"/>
  <c r="AB104" i="2" s="1"/>
  <c r="AB101" i="2" s="1"/>
  <c r="AB103" i="2"/>
  <c r="AB102" i="2"/>
  <c r="AB97" i="2"/>
  <c r="AB96" i="2"/>
  <c r="AB94" i="2" s="1"/>
  <c r="AB93" i="2" s="1"/>
  <c r="AB92" i="2"/>
  <c r="AB88" i="2"/>
  <c r="AB83" i="2"/>
  <c r="AB81" i="2"/>
  <c r="AB75" i="2" s="1"/>
  <c r="AB59" i="2" s="1"/>
  <c r="AB70" i="2"/>
  <c r="AB65" i="2"/>
  <c r="AB55" i="2"/>
  <c r="AB53" i="2"/>
  <c r="AB49" i="2"/>
  <c r="AB45" i="2" s="1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4" i="2" s="1"/>
  <c r="AB25" i="2"/>
  <c r="AB20" i="2"/>
  <c r="AB19" i="2"/>
  <c r="AB12" i="2"/>
  <c r="AB11" i="2"/>
  <c r="Q564" i="2"/>
  <c r="N564" i="2"/>
  <c r="I564" i="2"/>
  <c r="Q563" i="2"/>
  <c r="I563" i="2"/>
  <c r="N563" i="2" s="1"/>
  <c r="Q562" i="2"/>
  <c r="W562" i="2" s="1"/>
  <c r="W560" i="2" s="1"/>
  <c r="W559" i="2" s="1"/>
  <c r="Q561" i="2"/>
  <c r="N561" i="2"/>
  <c r="I561" i="2"/>
  <c r="AA560" i="2"/>
  <c r="AA559" i="2" s="1"/>
  <c r="AA558" i="2" s="1"/>
  <c r="AA556" i="2" s="1"/>
  <c r="Q560" i="2"/>
  <c r="Q559" i="2" s="1"/>
  <c r="P560" i="2"/>
  <c r="O560" i="2"/>
  <c r="O559" i="2" s="1"/>
  <c r="M560" i="2"/>
  <c r="M559" i="2" s="1"/>
  <c r="M558" i="2" s="1"/>
  <c r="M557" i="2" s="1"/>
  <c r="M556" i="2" s="1"/>
  <c r="L560" i="2"/>
  <c r="K560" i="2"/>
  <c r="K559" i="2" s="1"/>
  <c r="J560" i="2"/>
  <c r="I560" i="2"/>
  <c r="I559" i="2" s="1"/>
  <c r="H560" i="2"/>
  <c r="V559" i="2"/>
  <c r="V558" i="2" s="1"/>
  <c r="U559" i="2"/>
  <c r="T559" i="2"/>
  <c r="T558" i="2" s="1"/>
  <c r="T556" i="2" s="1"/>
  <c r="S559" i="2"/>
  <c r="R559" i="2"/>
  <c r="R558" i="2" s="1"/>
  <c r="P559" i="2"/>
  <c r="P558" i="2" s="1"/>
  <c r="P556" i="2" s="1"/>
  <c r="L559" i="2"/>
  <c r="L558" i="2" s="1"/>
  <c r="L557" i="2" s="1"/>
  <c r="J559" i="2"/>
  <c r="J558" i="2" s="1"/>
  <c r="J557" i="2" s="1"/>
  <c r="H559" i="2"/>
  <c r="H558" i="2" s="1"/>
  <c r="H557" i="2" s="1"/>
  <c r="H556" i="2" s="1"/>
  <c r="W558" i="2"/>
  <c r="W556" i="2" s="1"/>
  <c r="U558" i="2"/>
  <c r="U556" i="2" s="1"/>
  <c r="S558" i="2"/>
  <c r="S556" i="2" s="1"/>
  <c r="Q558" i="2"/>
  <c r="Q556" i="2" s="1"/>
  <c r="O558" i="2"/>
  <c r="O557" i="2" s="1"/>
  <c r="O556" i="2" s="1"/>
  <c r="K558" i="2"/>
  <c r="I558" i="2"/>
  <c r="I557" i="2" s="1"/>
  <c r="I556" i="2" s="1"/>
  <c r="X557" i="2"/>
  <c r="Q557" i="2"/>
  <c r="K557" i="2"/>
  <c r="K556" i="2" s="1"/>
  <c r="V556" i="2"/>
  <c r="R556" i="2"/>
  <c r="L556" i="2"/>
  <c r="J556" i="2"/>
  <c r="Q555" i="2"/>
  <c r="Q554" i="2"/>
  <c r="Q553" i="2"/>
  <c r="W553" i="2" s="1"/>
  <c r="Q552" i="2"/>
  <c r="W552" i="2" s="1"/>
  <c r="O552" i="2"/>
  <c r="H552" i="2"/>
  <c r="H551" i="2" s="1"/>
  <c r="AA551" i="2"/>
  <c r="U551" i="2"/>
  <c r="T551" i="2"/>
  <c r="T543" i="2" s="1"/>
  <c r="S551" i="2"/>
  <c r="R551" i="2"/>
  <c r="P551" i="2"/>
  <c r="O551" i="2"/>
  <c r="Q550" i="2"/>
  <c r="W550" i="2" s="1"/>
  <c r="Q549" i="2"/>
  <c r="O549" i="2"/>
  <c r="H549" i="2"/>
  <c r="Q548" i="2"/>
  <c r="W548" i="2" s="1"/>
  <c r="X547" i="2"/>
  <c r="Q547" i="2"/>
  <c r="O547" i="2"/>
  <c r="Q546" i="2"/>
  <c r="O546" i="2"/>
  <c r="H546" i="2"/>
  <c r="Q545" i="2"/>
  <c r="W545" i="2" s="1"/>
  <c r="O545" i="2"/>
  <c r="Q544" i="2"/>
  <c r="O544" i="2"/>
  <c r="O543" i="2" s="1"/>
  <c r="O533" i="2" s="1"/>
  <c r="AA543" i="2"/>
  <c r="V543" i="2"/>
  <c r="U543" i="2"/>
  <c r="U533" i="2" s="1"/>
  <c r="U531" i="2" s="1"/>
  <c r="S543" i="2"/>
  <c r="H543" i="2"/>
  <c r="Q542" i="2"/>
  <c r="W542" i="2" s="1"/>
  <c r="AA541" i="2"/>
  <c r="Q541" i="2"/>
  <c r="W540" i="2"/>
  <c r="Q540" i="2"/>
  <c r="O540" i="2"/>
  <c r="I540" i="2"/>
  <c r="H540" i="2"/>
  <c r="N540" i="2" s="1"/>
  <c r="Q539" i="2"/>
  <c r="O539" i="2"/>
  <c r="N539" i="2"/>
  <c r="I539" i="2"/>
  <c r="Q538" i="2"/>
  <c r="Q537" i="2"/>
  <c r="O537" i="2"/>
  <c r="O534" i="2" s="1"/>
  <c r="I537" i="2"/>
  <c r="H537" i="2"/>
  <c r="Q536" i="2"/>
  <c r="O536" i="2"/>
  <c r="N536" i="2"/>
  <c r="I536" i="2"/>
  <c r="Q535" i="2"/>
  <c r="O535" i="2"/>
  <c r="N535" i="2"/>
  <c r="I535" i="2"/>
  <c r="AA534" i="2"/>
  <c r="V534" i="2"/>
  <c r="U534" i="2"/>
  <c r="T534" i="2"/>
  <c r="S534" i="2"/>
  <c r="R534" i="2"/>
  <c r="P534" i="2"/>
  <c r="I534" i="2"/>
  <c r="H534" i="2"/>
  <c r="N534" i="2" s="1"/>
  <c r="M533" i="2"/>
  <c r="M532" i="2" s="1"/>
  <c r="L533" i="2"/>
  <c r="L531" i="2" s="1"/>
  <c r="K533" i="2"/>
  <c r="K532" i="2" s="1"/>
  <c r="J533" i="2"/>
  <c r="J532" i="2" s="1"/>
  <c r="Q532" i="2"/>
  <c r="L532" i="2"/>
  <c r="M531" i="2"/>
  <c r="K531" i="2"/>
  <c r="Q530" i="2"/>
  <c r="Q529" i="2"/>
  <c r="Q528" i="2"/>
  <c r="Q527" i="2"/>
  <c r="Q526" i="2"/>
  <c r="W526" i="2" s="1"/>
  <c r="I526" i="2"/>
  <c r="N526" i="2" s="1"/>
  <c r="Q525" i="2"/>
  <c r="W525" i="2" s="1"/>
  <c r="I525" i="2"/>
  <c r="N525" i="2" s="1"/>
  <c r="Q524" i="2"/>
  <c r="W524" i="2" s="1"/>
  <c r="I524" i="2"/>
  <c r="N524" i="2" s="1"/>
  <c r="Q523" i="2"/>
  <c r="W523" i="2" s="1"/>
  <c r="I523" i="2"/>
  <c r="N523" i="2" s="1"/>
  <c r="Q522" i="2"/>
  <c r="I522" i="2"/>
  <c r="N522" i="2" s="1"/>
  <c r="Q521" i="2"/>
  <c r="N521" i="2"/>
  <c r="I521" i="2"/>
  <c r="Q520" i="2"/>
  <c r="Q519" i="2"/>
  <c r="W518" i="2"/>
  <c r="Q518" i="2"/>
  <c r="O518" i="2"/>
  <c r="I518" i="2"/>
  <c r="N518" i="2" s="1"/>
  <c r="Q517" i="2"/>
  <c r="O517" i="2"/>
  <c r="O516" i="2" s="1"/>
  <c r="O513" i="2" s="1"/>
  <c r="O512" i="2" s="1"/>
  <c r="O511" i="2" s="1"/>
  <c r="I517" i="2"/>
  <c r="N517" i="2" s="1"/>
  <c r="AA516" i="2"/>
  <c r="V516" i="2"/>
  <c r="U516" i="2"/>
  <c r="U513" i="2" s="1"/>
  <c r="T516" i="2"/>
  <c r="T513" i="2" s="1"/>
  <c r="T512" i="2" s="1"/>
  <c r="T511" i="2" s="1"/>
  <c r="S516" i="2"/>
  <c r="S513" i="2" s="1"/>
  <c r="R516" i="2"/>
  <c r="R513" i="2" s="1"/>
  <c r="R512" i="2" s="1"/>
  <c r="R511" i="2" s="1"/>
  <c r="P516" i="2"/>
  <c r="P513" i="2" s="1"/>
  <c r="P512" i="2" s="1"/>
  <c r="P511" i="2" s="1"/>
  <c r="M516" i="2"/>
  <c r="M513" i="2" s="1"/>
  <c r="L516" i="2"/>
  <c r="L513" i="2" s="1"/>
  <c r="L512" i="2" s="1"/>
  <c r="L511" i="2" s="1"/>
  <c r="K516" i="2"/>
  <c r="K513" i="2" s="1"/>
  <c r="J516" i="2"/>
  <c r="J513" i="2" s="1"/>
  <c r="J512" i="2" s="1"/>
  <c r="J511" i="2" s="1"/>
  <c r="H516" i="2"/>
  <c r="H513" i="2" s="1"/>
  <c r="H512" i="2" s="1"/>
  <c r="H511" i="2" s="1"/>
  <c r="Q515" i="2"/>
  <c r="W515" i="2" s="1"/>
  <c r="Q514" i="2"/>
  <c r="W514" i="2" s="1"/>
  <c r="AA513" i="2"/>
  <c r="AA512" i="2" s="1"/>
  <c r="V513" i="2"/>
  <c r="V512" i="2" s="1"/>
  <c r="V511" i="2" s="1"/>
  <c r="U512" i="2"/>
  <c r="U511" i="2" s="1"/>
  <c r="S512" i="2"/>
  <c r="S511" i="2" s="1"/>
  <c r="M512" i="2"/>
  <c r="M511" i="2" s="1"/>
  <c r="K512" i="2"/>
  <c r="K511" i="2" s="1"/>
  <c r="AA511" i="2"/>
  <c r="Q510" i="2"/>
  <c r="W509" i="2"/>
  <c r="Q509" i="2"/>
  <c r="Q508" i="2"/>
  <c r="W508" i="2" s="1"/>
  <c r="AA507" i="2"/>
  <c r="X507" i="2"/>
  <c r="Q507" i="2"/>
  <c r="O507" i="2"/>
  <c r="N507" i="2"/>
  <c r="I507" i="2"/>
  <c r="Q506" i="2"/>
  <c r="I506" i="2"/>
  <c r="Q505" i="2"/>
  <c r="W505" i="2" s="1"/>
  <c r="Q504" i="2"/>
  <c r="N504" i="2"/>
  <c r="I504" i="2"/>
  <c r="AA503" i="2"/>
  <c r="V503" i="2"/>
  <c r="V501" i="2" s="1"/>
  <c r="U503" i="2"/>
  <c r="T503" i="2"/>
  <c r="T501" i="2" s="1"/>
  <c r="S503" i="2"/>
  <c r="S501" i="2" s="1"/>
  <c r="R503" i="2"/>
  <c r="P503" i="2"/>
  <c r="O503" i="2"/>
  <c r="M503" i="2"/>
  <c r="L503" i="2"/>
  <c r="K503" i="2"/>
  <c r="J503" i="2"/>
  <c r="H503" i="2"/>
  <c r="X502" i="2"/>
  <c r="Q502" i="2"/>
  <c r="U501" i="2"/>
  <c r="R501" i="2"/>
  <c r="P501" i="2"/>
  <c r="Q500" i="2"/>
  <c r="W500" i="2" s="1"/>
  <c r="O500" i="2"/>
  <c r="N500" i="2"/>
  <c r="I500" i="2"/>
  <c r="Q499" i="2"/>
  <c r="Q497" i="2" s="1"/>
  <c r="N499" i="2"/>
  <c r="I499" i="2"/>
  <c r="X498" i="2"/>
  <c r="Q498" i="2"/>
  <c r="O498" i="2"/>
  <c r="O497" i="2" s="1"/>
  <c r="I498" i="2"/>
  <c r="N498" i="2" s="1"/>
  <c r="AA497" i="2"/>
  <c r="V497" i="2"/>
  <c r="U497" i="2"/>
  <c r="T497" i="2"/>
  <c r="S497" i="2"/>
  <c r="R497" i="2"/>
  <c r="P497" i="2"/>
  <c r="M497" i="2"/>
  <c r="L497" i="2"/>
  <c r="K497" i="2"/>
  <c r="J497" i="2"/>
  <c r="I497" i="2"/>
  <c r="H497" i="2"/>
  <c r="X496" i="2"/>
  <c r="Q496" i="2"/>
  <c r="O496" i="2"/>
  <c r="O494" i="2" s="1"/>
  <c r="J496" i="2"/>
  <c r="Q495" i="2"/>
  <c r="Q494" i="2" s="1"/>
  <c r="O495" i="2"/>
  <c r="N495" i="2"/>
  <c r="I495" i="2"/>
  <c r="AA494" i="2"/>
  <c r="W494" i="2"/>
  <c r="V494" i="2"/>
  <c r="U494" i="2"/>
  <c r="T494" i="2"/>
  <c r="S494" i="2"/>
  <c r="R494" i="2"/>
  <c r="P494" i="2"/>
  <c r="M494" i="2"/>
  <c r="L494" i="2"/>
  <c r="K494" i="2"/>
  <c r="H494" i="2"/>
  <c r="I493" i="2"/>
  <c r="Q492" i="2"/>
  <c r="N492" i="2"/>
  <c r="I492" i="2"/>
  <c r="AA491" i="2"/>
  <c r="W491" i="2"/>
  <c r="V491" i="2"/>
  <c r="U491" i="2"/>
  <c r="T491" i="2"/>
  <c r="S491" i="2"/>
  <c r="R491" i="2"/>
  <c r="Q491" i="2"/>
  <c r="P491" i="2"/>
  <c r="O491" i="2"/>
  <c r="M491" i="2"/>
  <c r="L491" i="2"/>
  <c r="K491" i="2"/>
  <c r="J491" i="2"/>
  <c r="H491" i="2"/>
  <c r="X490" i="2"/>
  <c r="Q490" i="2"/>
  <c r="Q489" i="2" s="1"/>
  <c r="O490" i="2"/>
  <c r="N490" i="2"/>
  <c r="I490" i="2"/>
  <c r="AA489" i="2"/>
  <c r="W489" i="2"/>
  <c r="V489" i="2"/>
  <c r="U489" i="2"/>
  <c r="T489" i="2"/>
  <c r="S489" i="2"/>
  <c r="R489" i="2"/>
  <c r="P489" i="2"/>
  <c r="O489" i="2"/>
  <c r="N489" i="2"/>
  <c r="M489" i="2"/>
  <c r="L489" i="2"/>
  <c r="K489" i="2"/>
  <c r="J489" i="2"/>
  <c r="I489" i="2"/>
  <c r="H489" i="2"/>
  <c r="Q487" i="2"/>
  <c r="W487" i="2" s="1"/>
  <c r="Q486" i="2"/>
  <c r="O486" i="2"/>
  <c r="N486" i="2"/>
  <c r="I486" i="2"/>
  <c r="Q485" i="2"/>
  <c r="O485" i="2"/>
  <c r="N485" i="2"/>
  <c r="I485" i="2"/>
  <c r="Q484" i="2"/>
  <c r="W484" i="2" s="1"/>
  <c r="Q483" i="2"/>
  <c r="I483" i="2"/>
  <c r="N483" i="2" s="1"/>
  <c r="Q482" i="2"/>
  <c r="I482" i="2"/>
  <c r="N482" i="2" s="1"/>
  <c r="Q481" i="2"/>
  <c r="I481" i="2"/>
  <c r="Q480" i="2"/>
  <c r="I480" i="2"/>
  <c r="N480" i="2" s="1"/>
  <c r="W479" i="2"/>
  <c r="Q479" i="2"/>
  <c r="I479" i="2"/>
  <c r="N479" i="2" s="1"/>
  <c r="W478" i="2"/>
  <c r="Q478" i="2"/>
  <c r="I478" i="2"/>
  <c r="N478" i="2" s="1"/>
  <c r="Q477" i="2"/>
  <c r="O477" i="2"/>
  <c r="N477" i="2"/>
  <c r="I477" i="2"/>
  <c r="X476" i="2"/>
  <c r="Q476" i="2"/>
  <c r="AA475" i="2"/>
  <c r="V475" i="2"/>
  <c r="V468" i="2" s="1"/>
  <c r="U475" i="2"/>
  <c r="T475" i="2"/>
  <c r="T468" i="2" s="1"/>
  <c r="S475" i="2"/>
  <c r="R475" i="2"/>
  <c r="R468" i="2" s="1"/>
  <c r="P475" i="2"/>
  <c r="O475" i="2"/>
  <c r="M475" i="2"/>
  <c r="L475" i="2"/>
  <c r="K475" i="2"/>
  <c r="J475" i="2"/>
  <c r="H475" i="2"/>
  <c r="Q474" i="2"/>
  <c r="I474" i="2"/>
  <c r="N474" i="2" s="1"/>
  <c r="Q473" i="2"/>
  <c r="I473" i="2"/>
  <c r="N473" i="2" s="1"/>
  <c r="X472" i="2"/>
  <c r="Q472" i="2"/>
  <c r="Q469" i="2" s="1"/>
  <c r="I472" i="2"/>
  <c r="N472" i="2" s="1"/>
  <c r="Q471" i="2"/>
  <c r="Q470" i="2"/>
  <c r="O470" i="2"/>
  <c r="O469" i="2" s="1"/>
  <c r="O468" i="2" s="1"/>
  <c r="I470" i="2"/>
  <c r="AA469" i="2"/>
  <c r="V469" i="2"/>
  <c r="U469" i="2"/>
  <c r="U468" i="2" s="1"/>
  <c r="T469" i="2"/>
  <c r="S469" i="2"/>
  <c r="R469" i="2"/>
  <c r="P469" i="2"/>
  <c r="M469" i="2"/>
  <c r="M468" i="2" s="1"/>
  <c r="L469" i="2"/>
  <c r="K469" i="2"/>
  <c r="K468" i="2" s="1"/>
  <c r="J469" i="2"/>
  <c r="J468" i="2" s="1"/>
  <c r="H469" i="2"/>
  <c r="H468" i="2" s="1"/>
  <c r="P468" i="2"/>
  <c r="L468" i="2"/>
  <c r="W467" i="2"/>
  <c r="Q467" i="2"/>
  <c r="Q466" i="2"/>
  <c r="X465" i="2"/>
  <c r="Q465" i="2"/>
  <c r="O465" i="2"/>
  <c r="N465" i="2"/>
  <c r="I465" i="2"/>
  <c r="Q464" i="2"/>
  <c r="W464" i="2" s="1"/>
  <c r="W459" i="2" s="1"/>
  <c r="Q463" i="2"/>
  <c r="I463" i="2"/>
  <c r="N463" i="2" s="1"/>
  <c r="Q462" i="2"/>
  <c r="N462" i="2"/>
  <c r="I462" i="2"/>
  <c r="Q461" i="2"/>
  <c r="I461" i="2"/>
  <c r="N461" i="2" s="1"/>
  <c r="Q460" i="2"/>
  <c r="O460" i="2"/>
  <c r="O459" i="2" s="1"/>
  <c r="I460" i="2"/>
  <c r="H460" i="2"/>
  <c r="AA459" i="2"/>
  <c r="V459" i="2"/>
  <c r="U459" i="2"/>
  <c r="T459" i="2"/>
  <c r="S459" i="2"/>
  <c r="R459" i="2"/>
  <c r="P459" i="2"/>
  <c r="M459" i="2"/>
  <c r="L459" i="2"/>
  <c r="K459" i="2"/>
  <c r="J459" i="2"/>
  <c r="H459" i="2"/>
  <c r="X458" i="2"/>
  <c r="Q458" i="2"/>
  <c r="Q457" i="2"/>
  <c r="Q456" i="2"/>
  <c r="W456" i="2" s="1"/>
  <c r="O456" i="2"/>
  <c r="J456" i="2"/>
  <c r="I456" i="2" s="1"/>
  <c r="N456" i="2" s="1"/>
  <c r="Q455" i="2"/>
  <c r="J455" i="2"/>
  <c r="Q454" i="2"/>
  <c r="W454" i="2" s="1"/>
  <c r="I454" i="2"/>
  <c r="N454" i="2" s="1"/>
  <c r="Q453" i="2"/>
  <c r="I453" i="2"/>
  <c r="N453" i="2" s="1"/>
  <c r="X452" i="2"/>
  <c r="Q452" i="2"/>
  <c r="O452" i="2"/>
  <c r="N452" i="2"/>
  <c r="I452" i="2"/>
  <c r="Q451" i="2"/>
  <c r="O451" i="2"/>
  <c r="N451" i="2"/>
  <c r="I451" i="2"/>
  <c r="Q450" i="2"/>
  <c r="Q449" i="2"/>
  <c r="O449" i="2"/>
  <c r="O445" i="2" s="1"/>
  <c r="I449" i="2"/>
  <c r="Q448" i="2"/>
  <c r="I448" i="2"/>
  <c r="N448" i="2" s="1"/>
  <c r="I447" i="2"/>
  <c r="N447" i="2" s="1"/>
  <c r="O446" i="2"/>
  <c r="N446" i="2"/>
  <c r="I446" i="2"/>
  <c r="AA445" i="2"/>
  <c r="V445" i="2"/>
  <c r="U445" i="2"/>
  <c r="T445" i="2"/>
  <c r="S445" i="2"/>
  <c r="R445" i="2"/>
  <c r="P445" i="2"/>
  <c r="M445" i="2"/>
  <c r="L445" i="2"/>
  <c r="K445" i="2"/>
  <c r="K418" i="2" s="1"/>
  <c r="H445" i="2"/>
  <c r="Q444" i="2"/>
  <c r="Q443" i="2"/>
  <c r="O443" i="2"/>
  <c r="N443" i="2"/>
  <c r="I443" i="2"/>
  <c r="H443" i="2"/>
  <c r="Y442" i="2"/>
  <c r="Q442" i="2"/>
  <c r="X441" i="2"/>
  <c r="Q441" i="2"/>
  <c r="O441" i="2"/>
  <c r="N441" i="2"/>
  <c r="I441" i="2"/>
  <c r="H441" i="2"/>
  <c r="X440" i="2"/>
  <c r="Q440" i="2"/>
  <c r="Q436" i="2" s="1"/>
  <c r="O440" i="2"/>
  <c r="X439" i="2"/>
  <c r="Q439" i="2"/>
  <c r="O439" i="2"/>
  <c r="N439" i="2"/>
  <c r="I439" i="2"/>
  <c r="Q438" i="2"/>
  <c r="O438" i="2"/>
  <c r="O436" i="2" s="1"/>
  <c r="N438" i="2"/>
  <c r="I438" i="2"/>
  <c r="I437" i="2"/>
  <c r="N437" i="2" s="1"/>
  <c r="AA436" i="2"/>
  <c r="V436" i="2"/>
  <c r="U436" i="2"/>
  <c r="T436" i="2"/>
  <c r="S436" i="2"/>
  <c r="R436" i="2"/>
  <c r="P436" i="2"/>
  <c r="M436" i="2"/>
  <c r="L436" i="2"/>
  <c r="K436" i="2"/>
  <c r="J436" i="2"/>
  <c r="H436" i="2"/>
  <c r="Q435" i="2"/>
  <c r="I435" i="2"/>
  <c r="N435" i="2" s="1"/>
  <c r="Q434" i="2"/>
  <c r="I434" i="2"/>
  <c r="N434" i="2" s="1"/>
  <c r="Q433" i="2"/>
  <c r="N433" i="2"/>
  <c r="I433" i="2"/>
  <c r="Q432" i="2"/>
  <c r="I432" i="2"/>
  <c r="N432" i="2" s="1"/>
  <c r="AA431" i="2"/>
  <c r="V431" i="2"/>
  <c r="U431" i="2"/>
  <c r="T431" i="2"/>
  <c r="S431" i="2"/>
  <c r="R431" i="2"/>
  <c r="Q431" i="2"/>
  <c r="P431" i="2"/>
  <c r="O431" i="2"/>
  <c r="M431" i="2"/>
  <c r="L431" i="2"/>
  <c r="K431" i="2"/>
  <c r="J431" i="2"/>
  <c r="I431" i="2"/>
  <c r="H431" i="2"/>
  <c r="Q430" i="2"/>
  <c r="I430" i="2"/>
  <c r="N430" i="2" s="1"/>
  <c r="Q429" i="2"/>
  <c r="O429" i="2"/>
  <c r="I429" i="2"/>
  <c r="N429" i="2" s="1"/>
  <c r="H429" i="2"/>
  <c r="Q428" i="2"/>
  <c r="I428" i="2"/>
  <c r="N428" i="2" s="1"/>
  <c r="X427" i="2"/>
  <c r="Q427" i="2"/>
  <c r="I427" i="2"/>
  <c r="N427" i="2" s="1"/>
  <c r="N426" i="2" s="1"/>
  <c r="AA426" i="2"/>
  <c r="V426" i="2"/>
  <c r="U426" i="2"/>
  <c r="T426" i="2"/>
  <c r="S426" i="2"/>
  <c r="R426" i="2"/>
  <c r="Q426" i="2"/>
  <c r="P426" i="2"/>
  <c r="O426" i="2"/>
  <c r="M426" i="2"/>
  <c r="L426" i="2"/>
  <c r="K426" i="2"/>
  <c r="J426" i="2"/>
  <c r="H426" i="2"/>
  <c r="Q425" i="2"/>
  <c r="W425" i="2" s="1"/>
  <c r="X424" i="2"/>
  <c r="Q424" i="2"/>
  <c r="O424" i="2"/>
  <c r="N424" i="2"/>
  <c r="I424" i="2"/>
  <c r="Q423" i="2"/>
  <c r="W423" i="2" s="1"/>
  <c r="I423" i="2"/>
  <c r="Q422" i="2"/>
  <c r="W422" i="2" s="1"/>
  <c r="O422" i="2"/>
  <c r="O421" i="2" s="1"/>
  <c r="I422" i="2"/>
  <c r="N422" i="2" s="1"/>
  <c r="AA421" i="2"/>
  <c r="V421" i="2"/>
  <c r="U421" i="2"/>
  <c r="T421" i="2"/>
  <c r="S421" i="2"/>
  <c r="R421" i="2"/>
  <c r="P421" i="2"/>
  <c r="M421" i="2"/>
  <c r="L421" i="2"/>
  <c r="K421" i="2"/>
  <c r="J421" i="2"/>
  <c r="H421" i="2"/>
  <c r="Q420" i="2"/>
  <c r="O420" i="2"/>
  <c r="I420" i="2"/>
  <c r="N420" i="2" s="1"/>
  <c r="Q419" i="2"/>
  <c r="O419" i="2"/>
  <c r="I419" i="2"/>
  <c r="N419" i="2" s="1"/>
  <c r="R417" i="2"/>
  <c r="Q417" i="2" s="1"/>
  <c r="R416" i="2"/>
  <c r="Q416" i="2"/>
  <c r="X415" i="2"/>
  <c r="Q415" i="2"/>
  <c r="X414" i="2"/>
  <c r="Q414" i="2"/>
  <c r="Q413" i="2"/>
  <c r="W413" i="2" s="1"/>
  <c r="X412" i="2"/>
  <c r="R412" i="2"/>
  <c r="Q412" i="2"/>
  <c r="I412" i="2"/>
  <c r="N412" i="2" s="1"/>
  <c r="Q411" i="2"/>
  <c r="Q410" i="2"/>
  <c r="W410" i="2" s="1"/>
  <c r="X409" i="2"/>
  <c r="Q409" i="2"/>
  <c r="O409" i="2"/>
  <c r="O407" i="2" s="1"/>
  <c r="I409" i="2"/>
  <c r="H409" i="2"/>
  <c r="W408" i="2"/>
  <c r="Q408" i="2"/>
  <c r="O408" i="2"/>
  <c r="I408" i="2"/>
  <c r="N408" i="2" s="1"/>
  <c r="AA407" i="2"/>
  <c r="V407" i="2"/>
  <c r="V400" i="2" s="1"/>
  <c r="U407" i="2"/>
  <c r="U400" i="2" s="1"/>
  <c r="T407" i="2"/>
  <c r="T400" i="2" s="1"/>
  <c r="S407" i="2"/>
  <c r="R407" i="2"/>
  <c r="R400" i="2" s="1"/>
  <c r="P407" i="2"/>
  <c r="P400" i="2" s="1"/>
  <c r="M407" i="2"/>
  <c r="M400" i="2" s="1"/>
  <c r="L407" i="2"/>
  <c r="K407" i="2"/>
  <c r="J407" i="2"/>
  <c r="J400" i="2" s="1"/>
  <c r="I407" i="2"/>
  <c r="R406" i="2"/>
  <c r="Q406" i="2"/>
  <c r="R405" i="2"/>
  <c r="Q405" i="2" s="1"/>
  <c r="X404" i="2"/>
  <c r="Q404" i="2"/>
  <c r="X403" i="2"/>
  <c r="Q403" i="2"/>
  <c r="Q402" i="2"/>
  <c r="W402" i="2" s="1"/>
  <c r="X401" i="2"/>
  <c r="R401" i="2"/>
  <c r="Q401" i="2"/>
  <c r="N401" i="2"/>
  <c r="I401" i="2"/>
  <c r="AA400" i="2"/>
  <c r="S400" i="2"/>
  <c r="O400" i="2"/>
  <c r="L400" i="2"/>
  <c r="K400" i="2"/>
  <c r="Q395" i="2"/>
  <c r="W395" i="2" s="1"/>
  <c r="W393" i="2" s="1"/>
  <c r="Q394" i="2"/>
  <c r="AA393" i="2"/>
  <c r="V393" i="2"/>
  <c r="U393" i="2"/>
  <c r="T393" i="2"/>
  <c r="S393" i="2"/>
  <c r="R393" i="2"/>
  <c r="P393" i="2"/>
  <c r="Q392" i="2"/>
  <c r="W391" i="2"/>
  <c r="Q391" i="2"/>
  <c r="Q390" i="2"/>
  <c r="W390" i="2" s="1"/>
  <c r="Q389" i="2"/>
  <c r="O389" i="2"/>
  <c r="I389" i="2"/>
  <c r="N388" i="2"/>
  <c r="I388" i="2"/>
  <c r="AA387" i="2"/>
  <c r="W387" i="2"/>
  <c r="V387" i="2"/>
  <c r="U387" i="2"/>
  <c r="T387" i="2"/>
  <c r="S387" i="2"/>
  <c r="R387" i="2"/>
  <c r="P387" i="2"/>
  <c r="P384" i="2" s="1"/>
  <c r="O387" i="2"/>
  <c r="M387" i="2"/>
  <c r="L387" i="2"/>
  <c r="L384" i="2" s="1"/>
  <c r="K387" i="2"/>
  <c r="J387" i="2"/>
  <c r="H387" i="2"/>
  <c r="X386" i="2"/>
  <c r="Q386" i="2"/>
  <c r="Q385" i="2" s="1"/>
  <c r="O386" i="2"/>
  <c r="J386" i="2"/>
  <c r="AA385" i="2"/>
  <c r="W385" i="2"/>
  <c r="V385" i="2"/>
  <c r="V384" i="2" s="1"/>
  <c r="U385" i="2"/>
  <c r="U384" i="2" s="1"/>
  <c r="T385" i="2"/>
  <c r="T384" i="2" s="1"/>
  <c r="S385" i="2"/>
  <c r="R385" i="2"/>
  <c r="R384" i="2" s="1"/>
  <c r="P385" i="2"/>
  <c r="O385" i="2"/>
  <c r="M385" i="2"/>
  <c r="M384" i="2" s="1"/>
  <c r="L385" i="2"/>
  <c r="K385" i="2"/>
  <c r="H385" i="2"/>
  <c r="AA384" i="2"/>
  <c r="O384" i="2"/>
  <c r="H384" i="2"/>
  <c r="Q383" i="2"/>
  <c r="Q382" i="2"/>
  <c r="AA381" i="2"/>
  <c r="V381" i="2"/>
  <c r="U381" i="2"/>
  <c r="T381" i="2"/>
  <c r="S381" i="2"/>
  <c r="R381" i="2"/>
  <c r="P381" i="2"/>
  <c r="Q380" i="2"/>
  <c r="O380" i="2"/>
  <c r="O378" i="2" s="1"/>
  <c r="I380" i="2"/>
  <c r="N380" i="2" s="1"/>
  <c r="Q379" i="2"/>
  <c r="O379" i="2"/>
  <c r="I379" i="2"/>
  <c r="AA378" i="2"/>
  <c r="W378" i="2"/>
  <c r="V378" i="2"/>
  <c r="U378" i="2"/>
  <c r="T378" i="2"/>
  <c r="S378" i="2"/>
  <c r="S374" i="2" s="1"/>
  <c r="R378" i="2"/>
  <c r="Q378" i="2"/>
  <c r="P378" i="2"/>
  <c r="M378" i="2"/>
  <c r="M374" i="2" s="1"/>
  <c r="L378" i="2"/>
  <c r="K378" i="2"/>
  <c r="J378" i="2"/>
  <c r="H378" i="2"/>
  <c r="H374" i="2" s="1"/>
  <c r="Q377" i="2"/>
  <c r="W377" i="2" s="1"/>
  <c r="Q376" i="2"/>
  <c r="N376" i="2"/>
  <c r="N375" i="2" s="1"/>
  <c r="I376" i="2"/>
  <c r="AA375" i="2"/>
  <c r="U375" i="2"/>
  <c r="T375" i="2"/>
  <c r="T374" i="2" s="1"/>
  <c r="S375" i="2"/>
  <c r="R375" i="2"/>
  <c r="P375" i="2"/>
  <c r="O375" i="2"/>
  <c r="M375" i="2"/>
  <c r="L375" i="2"/>
  <c r="L374" i="2" s="1"/>
  <c r="K375" i="2"/>
  <c r="K374" i="2" s="1"/>
  <c r="J375" i="2"/>
  <c r="I375" i="2"/>
  <c r="H375" i="2"/>
  <c r="AA374" i="2"/>
  <c r="V374" i="2"/>
  <c r="R374" i="2"/>
  <c r="P374" i="2"/>
  <c r="J374" i="2"/>
  <c r="Q373" i="2"/>
  <c r="N373" i="2"/>
  <c r="I373" i="2"/>
  <c r="Q372" i="2"/>
  <c r="Q370" i="2" s="1"/>
  <c r="I372" i="2"/>
  <c r="Q371" i="2"/>
  <c r="N371" i="2"/>
  <c r="I371" i="2"/>
  <c r="AA370" i="2"/>
  <c r="V370" i="2"/>
  <c r="U370" i="2"/>
  <c r="T370" i="2"/>
  <c r="S370" i="2"/>
  <c r="R370" i="2"/>
  <c r="P370" i="2"/>
  <c r="O370" i="2"/>
  <c r="M370" i="2"/>
  <c r="L370" i="2"/>
  <c r="K370" i="2"/>
  <c r="J370" i="2"/>
  <c r="H370" i="2"/>
  <c r="Q369" i="2"/>
  <c r="W369" i="2" s="1"/>
  <c r="Q368" i="2"/>
  <c r="W368" i="2" s="1"/>
  <c r="I368" i="2"/>
  <c r="Q367" i="2"/>
  <c r="W367" i="2" s="1"/>
  <c r="O367" i="2"/>
  <c r="N367" i="2"/>
  <c r="I367" i="2"/>
  <c r="W366" i="2"/>
  <c r="W363" i="2" s="1"/>
  <c r="Q366" i="2"/>
  <c r="N366" i="2"/>
  <c r="I366" i="2"/>
  <c r="Q365" i="2"/>
  <c r="O365" i="2"/>
  <c r="N365" i="2"/>
  <c r="I365" i="2"/>
  <c r="O364" i="2"/>
  <c r="I364" i="2"/>
  <c r="N364" i="2" s="1"/>
  <c r="AA363" i="2"/>
  <c r="V363" i="2"/>
  <c r="U363" i="2"/>
  <c r="T363" i="2"/>
  <c r="S363" i="2"/>
  <c r="R363" i="2"/>
  <c r="R354" i="2" s="1"/>
  <c r="P363" i="2"/>
  <c r="O363" i="2"/>
  <c r="M363" i="2"/>
  <c r="L363" i="2"/>
  <c r="L354" i="2" s="1"/>
  <c r="K363" i="2"/>
  <c r="J363" i="2"/>
  <c r="H363" i="2"/>
  <c r="Q362" i="2"/>
  <c r="Q360" i="2" s="1"/>
  <c r="O362" i="2"/>
  <c r="N362" i="2"/>
  <c r="I362" i="2"/>
  <c r="N361" i="2"/>
  <c r="N360" i="2" s="1"/>
  <c r="I361" i="2"/>
  <c r="AA360" i="2"/>
  <c r="W360" i="2"/>
  <c r="V360" i="2"/>
  <c r="V354" i="2" s="1"/>
  <c r="V347" i="2" s="1"/>
  <c r="U360" i="2"/>
  <c r="T360" i="2"/>
  <c r="T354" i="2" s="1"/>
  <c r="S360" i="2"/>
  <c r="R360" i="2"/>
  <c r="O360" i="2"/>
  <c r="M360" i="2"/>
  <c r="L360" i="2"/>
  <c r="K360" i="2"/>
  <c r="J360" i="2"/>
  <c r="I360" i="2"/>
  <c r="H360" i="2"/>
  <c r="N359" i="2"/>
  <c r="I359" i="2"/>
  <c r="O358" i="2"/>
  <c r="I358" i="2"/>
  <c r="N358" i="2" s="1"/>
  <c r="P357" i="2"/>
  <c r="P354" i="2" s="1"/>
  <c r="O357" i="2"/>
  <c r="M357" i="2"/>
  <c r="M354" i="2" s="1"/>
  <c r="L357" i="2"/>
  <c r="K357" i="2"/>
  <c r="J357" i="2"/>
  <c r="I357" i="2"/>
  <c r="H357" i="2"/>
  <c r="Q356" i="2"/>
  <c r="O356" i="2"/>
  <c r="W355" i="2"/>
  <c r="Q355" i="2"/>
  <c r="O355" i="2"/>
  <c r="I355" i="2"/>
  <c r="AA354" i="2"/>
  <c r="AA347" i="2" s="1"/>
  <c r="H354" i="2"/>
  <c r="H347" i="2" s="1"/>
  <c r="Q353" i="2"/>
  <c r="N353" i="2"/>
  <c r="I353" i="2"/>
  <c r="X352" i="2"/>
  <c r="R352" i="2"/>
  <c r="R350" i="2" s="1"/>
  <c r="R348" i="2" s="1"/>
  <c r="Q352" i="2"/>
  <c r="Q350" i="2" s="1"/>
  <c r="I352" i="2"/>
  <c r="N352" i="2" s="1"/>
  <c r="Q351" i="2"/>
  <c r="O351" i="2"/>
  <c r="I351" i="2"/>
  <c r="AA350" i="2"/>
  <c r="V350" i="2"/>
  <c r="U350" i="2"/>
  <c r="U348" i="2" s="1"/>
  <c r="T350" i="2"/>
  <c r="S350" i="2"/>
  <c r="S348" i="2" s="1"/>
  <c r="P350" i="2"/>
  <c r="O350" i="2"/>
  <c r="O348" i="2" s="1"/>
  <c r="M350" i="2"/>
  <c r="M348" i="2" s="1"/>
  <c r="L350" i="2"/>
  <c r="K350" i="2"/>
  <c r="J350" i="2"/>
  <c r="H350" i="2"/>
  <c r="Q349" i="2"/>
  <c r="I349" i="2"/>
  <c r="AA348" i="2"/>
  <c r="V348" i="2"/>
  <c r="T348" i="2"/>
  <c r="Q348" i="2"/>
  <c r="P348" i="2"/>
  <c r="L348" i="2"/>
  <c r="K348" i="2"/>
  <c r="J348" i="2"/>
  <c r="H348" i="2"/>
  <c r="Q346" i="2"/>
  <c r="Q345" i="2"/>
  <c r="Q344" i="2"/>
  <c r="W344" i="2" s="1"/>
  <c r="Q343" i="2"/>
  <c r="W343" i="2" s="1"/>
  <c r="O343" i="2"/>
  <c r="I343" i="2"/>
  <c r="N343" i="2" s="1"/>
  <c r="Q342" i="2"/>
  <c r="W342" i="2" s="1"/>
  <c r="O342" i="2"/>
  <c r="I342" i="2"/>
  <c r="N342" i="2" s="1"/>
  <c r="Q341" i="2"/>
  <c r="O341" i="2"/>
  <c r="I341" i="2"/>
  <c r="N341" i="2" s="1"/>
  <c r="Q340" i="2"/>
  <c r="W340" i="2" s="1"/>
  <c r="Q339" i="2"/>
  <c r="W339" i="2" s="1"/>
  <c r="Q338" i="2"/>
  <c r="W338" i="2" s="1"/>
  <c r="O338" i="2"/>
  <c r="I338" i="2"/>
  <c r="N338" i="2" s="1"/>
  <c r="Q337" i="2"/>
  <c r="Q336" i="2"/>
  <c r="W336" i="2" s="1"/>
  <c r="Q335" i="2"/>
  <c r="O335" i="2"/>
  <c r="I335" i="2"/>
  <c r="N335" i="2" s="1"/>
  <c r="Q334" i="2"/>
  <c r="W334" i="2" s="1"/>
  <c r="O334" i="2"/>
  <c r="I334" i="2"/>
  <c r="N334" i="2" s="1"/>
  <c r="Q333" i="2"/>
  <c r="W333" i="2" s="1"/>
  <c r="Q332" i="2"/>
  <c r="Q331" i="2"/>
  <c r="Q330" i="2"/>
  <c r="O330" i="2"/>
  <c r="I330" i="2"/>
  <c r="N330" i="2" s="1"/>
  <c r="H330" i="2"/>
  <c r="Q329" i="2"/>
  <c r="Q328" i="2"/>
  <c r="W328" i="2" s="1"/>
  <c r="O328" i="2"/>
  <c r="I328" i="2"/>
  <c r="H328" i="2"/>
  <c r="Q327" i="2"/>
  <c r="Q326" i="2"/>
  <c r="W326" i="2" s="1"/>
  <c r="Q325" i="2"/>
  <c r="W325" i="2" s="1"/>
  <c r="O325" i="2"/>
  <c r="I325" i="2"/>
  <c r="H325" i="2"/>
  <c r="Q324" i="2"/>
  <c r="W324" i="2" s="1"/>
  <c r="O324" i="2"/>
  <c r="I324" i="2"/>
  <c r="H324" i="2"/>
  <c r="Q323" i="2"/>
  <c r="W323" i="2" s="1"/>
  <c r="O323" i="2"/>
  <c r="N323" i="2"/>
  <c r="I323" i="2"/>
  <c r="H323" i="2"/>
  <c r="Y322" i="2"/>
  <c r="Q322" i="2"/>
  <c r="Q321" i="2"/>
  <c r="Q320" i="2"/>
  <c r="Y319" i="2"/>
  <c r="X319" i="2"/>
  <c r="Q319" i="2"/>
  <c r="I319" i="2"/>
  <c r="H319" i="2"/>
  <c r="Q318" i="2"/>
  <c r="Q317" i="2"/>
  <c r="Q316" i="2"/>
  <c r="I316" i="2"/>
  <c r="N316" i="2" s="1"/>
  <c r="Q315" i="2"/>
  <c r="I315" i="2"/>
  <c r="N315" i="2" s="1"/>
  <c r="Q314" i="2"/>
  <c r="W313" i="2"/>
  <c r="Q313" i="2"/>
  <c r="K313" i="2"/>
  <c r="I313" i="2"/>
  <c r="N313" i="2" s="1"/>
  <c r="Q312" i="2"/>
  <c r="W312" i="2" s="1"/>
  <c r="I312" i="2"/>
  <c r="N312" i="2" s="1"/>
  <c r="Q311" i="2"/>
  <c r="W311" i="2" s="1"/>
  <c r="I311" i="2"/>
  <c r="Y310" i="2"/>
  <c r="W310" i="2"/>
  <c r="Q310" i="2"/>
  <c r="I310" i="2"/>
  <c r="N310" i="2" s="1"/>
  <c r="W309" i="2"/>
  <c r="Q309" i="2"/>
  <c r="I309" i="2"/>
  <c r="N309" i="2" s="1"/>
  <c r="Q308" i="2"/>
  <c r="W308" i="2" s="1"/>
  <c r="I308" i="2"/>
  <c r="N308" i="2" s="1"/>
  <c r="W307" i="2"/>
  <c r="Q307" i="2"/>
  <c r="I307" i="2"/>
  <c r="N307" i="2" s="1"/>
  <c r="AA306" i="2"/>
  <c r="V306" i="2"/>
  <c r="U306" i="2"/>
  <c r="T306" i="2"/>
  <c r="T270" i="2" s="1"/>
  <c r="S306" i="2"/>
  <c r="R306" i="2"/>
  <c r="P306" i="2"/>
  <c r="M306" i="2"/>
  <c r="L306" i="2"/>
  <c r="K306" i="2"/>
  <c r="J306" i="2"/>
  <c r="Q305" i="2"/>
  <c r="W305" i="2" s="1"/>
  <c r="Q304" i="2"/>
  <c r="Q303" i="2"/>
  <c r="Q299" i="2"/>
  <c r="W299" i="2" s="1"/>
  <c r="N299" i="2"/>
  <c r="I299" i="2"/>
  <c r="Q298" i="2"/>
  <c r="W298" i="2" s="1"/>
  <c r="N298" i="2"/>
  <c r="I298" i="2"/>
  <c r="I297" i="2"/>
  <c r="N297" i="2" s="1"/>
  <c r="N296" i="2"/>
  <c r="I296" i="2"/>
  <c r="Q295" i="2"/>
  <c r="W295" i="2" s="1"/>
  <c r="N295" i="2"/>
  <c r="I295" i="2"/>
  <c r="AA294" i="2"/>
  <c r="V294" i="2"/>
  <c r="U294" i="2"/>
  <c r="U271" i="2" s="1"/>
  <c r="T294" i="2"/>
  <c r="S294" i="2"/>
  <c r="R294" i="2"/>
  <c r="P294" i="2"/>
  <c r="O294" i="2"/>
  <c r="M294" i="2"/>
  <c r="L294" i="2"/>
  <c r="K294" i="2"/>
  <c r="J294" i="2"/>
  <c r="H294" i="2"/>
  <c r="Q293" i="2"/>
  <c r="W293" i="2" s="1"/>
  <c r="Q292" i="2"/>
  <c r="W292" i="2" s="1"/>
  <c r="I289" i="2"/>
  <c r="N289" i="2" s="1"/>
  <c r="I286" i="2"/>
  <c r="N286" i="2" s="1"/>
  <c r="N285" i="2" s="1"/>
  <c r="P285" i="2"/>
  <c r="O285" i="2"/>
  <c r="M285" i="2"/>
  <c r="L285" i="2"/>
  <c r="K285" i="2"/>
  <c r="J285" i="2"/>
  <c r="H285" i="2"/>
  <c r="Q284" i="2"/>
  <c r="W284" i="2" s="1"/>
  <c r="W283" i="2" s="1"/>
  <c r="I284" i="2"/>
  <c r="N284" i="2" s="1"/>
  <c r="N283" i="2" s="1"/>
  <c r="AA283" i="2"/>
  <c r="U283" i="2"/>
  <c r="T283" i="2"/>
  <c r="S283" i="2"/>
  <c r="R283" i="2"/>
  <c r="P283" i="2"/>
  <c r="O283" i="2"/>
  <c r="M283" i="2"/>
  <c r="M271" i="2" s="1"/>
  <c r="M270" i="2" s="1"/>
  <c r="L283" i="2"/>
  <c r="K283" i="2"/>
  <c r="J283" i="2"/>
  <c r="I283" i="2"/>
  <c r="H283" i="2"/>
  <c r="Q282" i="2"/>
  <c r="Q281" i="2"/>
  <c r="O281" i="2"/>
  <c r="O272" i="2" s="1"/>
  <c r="I281" i="2"/>
  <c r="I272" i="2" s="1"/>
  <c r="H281" i="2"/>
  <c r="N281" i="2" s="1"/>
  <c r="W280" i="2"/>
  <c r="Q280" i="2"/>
  <c r="W279" i="2"/>
  <c r="Q279" i="2"/>
  <c r="N279" i="2"/>
  <c r="I279" i="2"/>
  <c r="W278" i="2"/>
  <c r="Q278" i="2"/>
  <c r="N278" i="2"/>
  <c r="I278" i="2"/>
  <c r="W277" i="2"/>
  <c r="Q277" i="2"/>
  <c r="N277" i="2"/>
  <c r="I277" i="2"/>
  <c r="W276" i="2"/>
  <c r="Q276" i="2"/>
  <c r="N276" i="2"/>
  <c r="I276" i="2"/>
  <c r="W275" i="2"/>
  <c r="Q275" i="2"/>
  <c r="N275" i="2"/>
  <c r="I275" i="2"/>
  <c r="N274" i="2"/>
  <c r="I274" i="2"/>
  <c r="N273" i="2"/>
  <c r="I273" i="2"/>
  <c r="AA272" i="2"/>
  <c r="V272" i="2"/>
  <c r="V271" i="2" s="1"/>
  <c r="V270" i="2" s="1"/>
  <c r="U272" i="2"/>
  <c r="T272" i="2"/>
  <c r="T271" i="2" s="1"/>
  <c r="S272" i="2"/>
  <c r="R272" i="2"/>
  <c r="R271" i="2" s="1"/>
  <c r="R270" i="2" s="1"/>
  <c r="P272" i="2"/>
  <c r="M272" i="2"/>
  <c r="L272" i="2"/>
  <c r="K272" i="2"/>
  <c r="J272" i="2"/>
  <c r="J271" i="2" s="1"/>
  <c r="J270" i="2" s="1"/>
  <c r="H272" i="2"/>
  <c r="O271" i="2"/>
  <c r="Q268" i="2"/>
  <c r="Q267" i="2"/>
  <c r="Q266" i="2"/>
  <c r="Q265" i="2"/>
  <c r="Q264" i="2"/>
  <c r="Q263" i="2"/>
  <c r="Q262" i="2"/>
  <c r="V261" i="2"/>
  <c r="V257" i="2" s="1"/>
  <c r="U261" i="2"/>
  <c r="U257" i="2" s="1"/>
  <c r="T261" i="2"/>
  <c r="T257" i="2" s="1"/>
  <c r="S261" i="2"/>
  <c r="R261" i="2"/>
  <c r="R257" i="2" s="1"/>
  <c r="P261" i="2"/>
  <c r="P257" i="2" s="1"/>
  <c r="W260" i="2"/>
  <c r="Q260" i="2"/>
  <c r="Q259" i="2"/>
  <c r="W259" i="2" s="1"/>
  <c r="I259" i="2"/>
  <c r="N259" i="2" s="1"/>
  <c r="N257" i="2" s="1"/>
  <c r="Q258" i="2"/>
  <c r="N258" i="2"/>
  <c r="I258" i="2"/>
  <c r="AA257" i="2"/>
  <c r="W257" i="2"/>
  <c r="S257" i="2"/>
  <c r="O257" i="2"/>
  <c r="M257" i="2"/>
  <c r="L257" i="2"/>
  <c r="K257" i="2"/>
  <c r="J257" i="2"/>
  <c r="H257" i="2"/>
  <c r="Q256" i="2"/>
  <c r="Q255" i="2" s="1"/>
  <c r="O256" i="2"/>
  <c r="O255" i="2" s="1"/>
  <c r="N256" i="2"/>
  <c r="I256" i="2"/>
  <c r="AA255" i="2"/>
  <c r="W255" i="2"/>
  <c r="V255" i="2"/>
  <c r="U255" i="2"/>
  <c r="T255" i="2"/>
  <c r="S255" i="2"/>
  <c r="R255" i="2"/>
  <c r="P255" i="2"/>
  <c r="N255" i="2"/>
  <c r="M255" i="2"/>
  <c r="L255" i="2"/>
  <c r="K255" i="2"/>
  <c r="J255" i="2"/>
  <c r="I255" i="2"/>
  <c r="H255" i="2"/>
  <c r="H249" i="2" s="1"/>
  <c r="Q254" i="2"/>
  <c r="Q253" i="2"/>
  <c r="AA252" i="2"/>
  <c r="W252" i="2"/>
  <c r="V252" i="2"/>
  <c r="U252" i="2"/>
  <c r="T252" i="2"/>
  <c r="S252" i="2"/>
  <c r="R252" i="2"/>
  <c r="Q252" i="2"/>
  <c r="P252" i="2"/>
  <c r="H252" i="2"/>
  <c r="W251" i="2"/>
  <c r="W249" i="2" s="1"/>
  <c r="Q251" i="2"/>
  <c r="W250" i="2"/>
  <c r="Q250" i="2"/>
  <c r="AA249" i="2"/>
  <c r="AA241" i="2" s="1"/>
  <c r="AA240" i="2" s="1"/>
  <c r="V249" i="2"/>
  <c r="U249" i="2"/>
  <c r="U241" i="2" s="1"/>
  <c r="U240" i="2" s="1"/>
  <c r="T249" i="2"/>
  <c r="S249" i="2"/>
  <c r="S241" i="2" s="1"/>
  <c r="S240" i="2" s="1"/>
  <c r="R249" i="2"/>
  <c r="P249" i="2"/>
  <c r="P241" i="2" s="1"/>
  <c r="P240" i="2" s="1"/>
  <c r="Q248" i="2"/>
  <c r="W248" i="2" s="1"/>
  <c r="W247" i="2"/>
  <c r="Q247" i="2"/>
  <c r="Q246" i="2"/>
  <c r="W246" i="2" s="1"/>
  <c r="Q245" i="2"/>
  <c r="W245" i="2" s="1"/>
  <c r="P245" i="2"/>
  <c r="H245" i="2"/>
  <c r="Q244" i="2"/>
  <c r="W244" i="2" s="1"/>
  <c r="W241" i="2" s="1"/>
  <c r="W240" i="2" s="1"/>
  <c r="O244" i="2"/>
  <c r="N244" i="2"/>
  <c r="N241" i="2" s="1"/>
  <c r="I244" i="2"/>
  <c r="I241" i="2" s="1"/>
  <c r="H244" i="2"/>
  <c r="Q243" i="2"/>
  <c r="W243" i="2" s="1"/>
  <c r="O242" i="2"/>
  <c r="H242" i="2"/>
  <c r="H241" i="2" s="1"/>
  <c r="V241" i="2"/>
  <c r="V240" i="2" s="1"/>
  <c r="R241" i="2"/>
  <c r="R240" i="2" s="1"/>
  <c r="O241" i="2"/>
  <c r="M241" i="2"/>
  <c r="L241" i="2"/>
  <c r="K241" i="2"/>
  <c r="J241" i="2"/>
  <c r="I239" i="2"/>
  <c r="N239" i="2" s="1"/>
  <c r="N238" i="2" s="1"/>
  <c r="P238" i="2"/>
  <c r="O238" i="2"/>
  <c r="M238" i="2"/>
  <c r="L238" i="2"/>
  <c r="K238" i="2"/>
  <c r="J238" i="2"/>
  <c r="I238" i="2"/>
  <c r="H238" i="2"/>
  <c r="W237" i="2"/>
  <c r="W236" i="2" s="1"/>
  <c r="W235" i="2" s="1"/>
  <c r="W234" i="2" s="1"/>
  <c r="W233" i="2" s="1"/>
  <c r="Q237" i="2"/>
  <c r="O237" i="2"/>
  <c r="I237" i="2"/>
  <c r="N237" i="2" s="1"/>
  <c r="N236" i="2" s="1"/>
  <c r="AA236" i="2"/>
  <c r="AA235" i="2" s="1"/>
  <c r="AA234" i="2" s="1"/>
  <c r="AA233" i="2" s="1"/>
  <c r="V236" i="2"/>
  <c r="U236" i="2"/>
  <c r="U235" i="2" s="1"/>
  <c r="U234" i="2" s="1"/>
  <c r="U233" i="2" s="1"/>
  <c r="T236" i="2"/>
  <c r="T235" i="2" s="1"/>
  <c r="T234" i="2" s="1"/>
  <c r="S236" i="2"/>
  <c r="S235" i="2" s="1"/>
  <c r="S234" i="2" s="1"/>
  <c r="S233" i="2" s="1"/>
  <c r="R236" i="2"/>
  <c r="Q236" i="2"/>
  <c r="P236" i="2"/>
  <c r="P235" i="2" s="1"/>
  <c r="P234" i="2" s="1"/>
  <c r="O236" i="2"/>
  <c r="O235" i="2" s="1"/>
  <c r="O234" i="2" s="1"/>
  <c r="O233" i="2" s="1"/>
  <c r="M236" i="2"/>
  <c r="L236" i="2"/>
  <c r="L235" i="2" s="1"/>
  <c r="L234" i="2" s="1"/>
  <c r="L233" i="2" s="1"/>
  <c r="K236" i="2"/>
  <c r="K235" i="2" s="1"/>
  <c r="J236" i="2"/>
  <c r="I236" i="2"/>
  <c r="H236" i="2"/>
  <c r="H235" i="2" s="1"/>
  <c r="H234" i="2" s="1"/>
  <c r="H233" i="2" s="1"/>
  <c r="V235" i="2"/>
  <c r="R235" i="2"/>
  <c r="Q235" i="2"/>
  <c r="Q234" i="2" s="1"/>
  <c r="Q233" i="2" s="1"/>
  <c r="N235" i="2"/>
  <c r="M235" i="2"/>
  <c r="M234" i="2" s="1"/>
  <c r="J235" i="2"/>
  <c r="I235" i="2"/>
  <c r="I234" i="2" s="1"/>
  <c r="V234" i="2"/>
  <c r="V233" i="2" s="1"/>
  <c r="R234" i="2"/>
  <c r="R233" i="2" s="1"/>
  <c r="N234" i="2"/>
  <c r="K234" i="2"/>
  <c r="J234" i="2"/>
  <c r="J233" i="2" s="1"/>
  <c r="T233" i="2"/>
  <c r="P233" i="2"/>
  <c r="K233" i="2"/>
  <c r="Q232" i="2"/>
  <c r="W231" i="2"/>
  <c r="Q231" i="2"/>
  <c r="AA230" i="2"/>
  <c r="W230" i="2"/>
  <c r="V230" i="2"/>
  <c r="U230" i="2"/>
  <c r="T230" i="2"/>
  <c r="S230" i="2"/>
  <c r="R230" i="2"/>
  <c r="P230" i="2"/>
  <c r="Q228" i="2"/>
  <c r="O228" i="2"/>
  <c r="N228" i="2"/>
  <c r="N224" i="2" s="1"/>
  <c r="I228" i="2"/>
  <c r="Q227" i="2"/>
  <c r="Q226" i="2"/>
  <c r="Q225" i="2"/>
  <c r="AA224" i="2"/>
  <c r="AA215" i="2" s="1"/>
  <c r="W224" i="2"/>
  <c r="V224" i="2"/>
  <c r="U224" i="2"/>
  <c r="T224" i="2"/>
  <c r="S224" i="2"/>
  <c r="Q224" i="2" s="1"/>
  <c r="R224" i="2"/>
  <c r="P224" i="2"/>
  <c r="P215" i="2" s="1"/>
  <c r="O224" i="2"/>
  <c r="M224" i="2"/>
  <c r="M215" i="2" s="1"/>
  <c r="M212" i="2" s="1"/>
  <c r="L224" i="2"/>
  <c r="L215" i="2" s="1"/>
  <c r="L212" i="2" s="1"/>
  <c r="K224" i="2"/>
  <c r="K215" i="2" s="1"/>
  <c r="K212" i="2" s="1"/>
  <c r="J224" i="2"/>
  <c r="J215" i="2" s="1"/>
  <c r="J212" i="2" s="1"/>
  <c r="I224" i="2"/>
  <c r="H224" i="2"/>
  <c r="H215" i="2" s="1"/>
  <c r="H212" i="2" s="1"/>
  <c r="Q223" i="2"/>
  <c r="Q222" i="2"/>
  <c r="Q221" i="2"/>
  <c r="V220" i="2"/>
  <c r="U220" i="2"/>
  <c r="T220" i="2"/>
  <c r="T215" i="2" s="1"/>
  <c r="T212" i="2" s="1"/>
  <c r="S220" i="2"/>
  <c r="W219" i="2"/>
  <c r="Q219" i="2"/>
  <c r="Q218" i="2"/>
  <c r="P218" i="2"/>
  <c r="O218" i="2"/>
  <c r="N218" i="2"/>
  <c r="M218" i="2"/>
  <c r="L218" i="2"/>
  <c r="K218" i="2"/>
  <c r="J218" i="2"/>
  <c r="I218" i="2"/>
  <c r="H218" i="2"/>
  <c r="Q217" i="2"/>
  <c r="O217" i="2"/>
  <c r="I217" i="2"/>
  <c r="W216" i="2"/>
  <c r="V216" i="2"/>
  <c r="U216" i="2"/>
  <c r="T216" i="2"/>
  <c r="S216" i="2"/>
  <c r="R216" i="2"/>
  <c r="P216" i="2"/>
  <c r="O216" i="2"/>
  <c r="O215" i="2" s="1"/>
  <c r="O212" i="2" s="1"/>
  <c r="H216" i="2"/>
  <c r="W212" i="2"/>
  <c r="V215" i="2"/>
  <c r="V212" i="2" s="1"/>
  <c r="R215" i="2"/>
  <c r="R212" i="2" s="1"/>
  <c r="Q214" i="2"/>
  <c r="AA213" i="2"/>
  <c r="W213" i="2"/>
  <c r="V213" i="2"/>
  <c r="U213" i="2"/>
  <c r="T213" i="2"/>
  <c r="S213" i="2"/>
  <c r="R213" i="2"/>
  <c r="Q213" i="2"/>
  <c r="P213" i="2"/>
  <c r="O213" i="2"/>
  <c r="H213" i="2"/>
  <c r="AA212" i="2"/>
  <c r="P212" i="2"/>
  <c r="Q211" i="2"/>
  <c r="Q210" i="2"/>
  <c r="Q209" i="2"/>
  <c r="W209" i="2" s="1"/>
  <c r="W208" i="2"/>
  <c r="Q208" i="2"/>
  <c r="I208" i="2"/>
  <c r="Q207" i="2"/>
  <c r="P207" i="2"/>
  <c r="W207" i="2" s="1"/>
  <c r="O207" i="2"/>
  <c r="O204" i="2" s="1"/>
  <c r="M207" i="2"/>
  <c r="L207" i="2"/>
  <c r="K207" i="2"/>
  <c r="J207" i="2"/>
  <c r="H207" i="2"/>
  <c r="Q206" i="2"/>
  <c r="W206" i="2" s="1"/>
  <c r="I206" i="2"/>
  <c r="N206" i="2" s="1"/>
  <c r="N205" i="2" s="1"/>
  <c r="Q205" i="2"/>
  <c r="P205" i="2"/>
  <c r="O205" i="2"/>
  <c r="M205" i="2"/>
  <c r="L205" i="2"/>
  <c r="K205" i="2"/>
  <c r="J205" i="2"/>
  <c r="J204" i="2" s="1"/>
  <c r="H205" i="2"/>
  <c r="H204" i="2" s="1"/>
  <c r="Q204" i="2"/>
  <c r="P204" i="2"/>
  <c r="M204" i="2"/>
  <c r="L204" i="2"/>
  <c r="Q203" i="2"/>
  <c r="I203" i="2"/>
  <c r="N203" i="2" s="1"/>
  <c r="Q202" i="2"/>
  <c r="I202" i="2"/>
  <c r="N202" i="2" s="1"/>
  <c r="N201" i="2" s="1"/>
  <c r="W201" i="2"/>
  <c r="W196" i="2" s="1"/>
  <c r="V201" i="2"/>
  <c r="U201" i="2"/>
  <c r="T201" i="2"/>
  <c r="T196" i="2" s="1"/>
  <c r="S201" i="2"/>
  <c r="S196" i="2" s="1"/>
  <c r="R201" i="2"/>
  <c r="R196" i="2" s="1"/>
  <c r="P201" i="2"/>
  <c r="O201" i="2"/>
  <c r="O196" i="2" s="1"/>
  <c r="M201" i="2"/>
  <c r="M196" i="2" s="1"/>
  <c r="L201" i="2"/>
  <c r="K201" i="2"/>
  <c r="K196" i="2" s="1"/>
  <c r="J201" i="2"/>
  <c r="H201" i="2"/>
  <c r="W200" i="2"/>
  <c r="Q200" i="2"/>
  <c r="N200" i="2"/>
  <c r="I200" i="2"/>
  <c r="W199" i="2"/>
  <c r="Q199" i="2"/>
  <c r="N199" i="2"/>
  <c r="I199" i="2"/>
  <c r="I198" i="2" s="1"/>
  <c r="Q198" i="2"/>
  <c r="P198" i="2"/>
  <c r="W198" i="2" s="1"/>
  <c r="O198" i="2"/>
  <c r="N198" i="2"/>
  <c r="M198" i="2"/>
  <c r="L198" i="2"/>
  <c r="L196" i="2" s="1"/>
  <c r="K198" i="2"/>
  <c r="J198" i="2"/>
  <c r="J196" i="2" s="1"/>
  <c r="H198" i="2"/>
  <c r="H196" i="2" s="1"/>
  <c r="Q197" i="2"/>
  <c r="W197" i="2" s="1"/>
  <c r="N197" i="2"/>
  <c r="I197" i="2"/>
  <c r="V196" i="2"/>
  <c r="U196" i="2"/>
  <c r="P196" i="2"/>
  <c r="Q195" i="2"/>
  <c r="N195" i="2"/>
  <c r="Q194" i="2"/>
  <c r="N194" i="2"/>
  <c r="I194" i="2"/>
  <c r="Q193" i="2"/>
  <c r="I193" i="2"/>
  <c r="W192" i="2"/>
  <c r="W191" i="2" s="1"/>
  <c r="W189" i="2" s="1"/>
  <c r="W187" i="2" s="1"/>
  <c r="W186" i="2" s="1"/>
  <c r="Q192" i="2"/>
  <c r="I192" i="2"/>
  <c r="I191" i="2" s="1"/>
  <c r="I189" i="2" s="1"/>
  <c r="V191" i="2"/>
  <c r="V189" i="2" s="1"/>
  <c r="V188" i="2" s="1"/>
  <c r="V187" i="2" s="1"/>
  <c r="V186" i="2" s="1"/>
  <c r="U191" i="2"/>
  <c r="T191" i="2"/>
  <c r="T189" i="2" s="1"/>
  <c r="S191" i="2"/>
  <c r="R191" i="2"/>
  <c r="P191" i="2"/>
  <c r="P189" i="2" s="1"/>
  <c r="O191" i="2"/>
  <c r="O189" i="2" s="1"/>
  <c r="M191" i="2"/>
  <c r="L191" i="2"/>
  <c r="L189" i="2" s="1"/>
  <c r="K191" i="2"/>
  <c r="K189" i="2" s="1"/>
  <c r="J191" i="2"/>
  <c r="J189" i="2" s="1"/>
  <c r="H191" i="2"/>
  <c r="Q190" i="2"/>
  <c r="I190" i="2"/>
  <c r="H190" i="2"/>
  <c r="AA189" i="2"/>
  <c r="U189" i="2"/>
  <c r="U188" i="2" s="1"/>
  <c r="U187" i="2" s="1"/>
  <c r="U186" i="2" s="1"/>
  <c r="S189" i="2"/>
  <c r="R189" i="2"/>
  <c r="M189" i="2"/>
  <c r="AA188" i="2"/>
  <c r="S188" i="2"/>
  <c r="S187" i="2" s="1"/>
  <c r="S186" i="2" s="1"/>
  <c r="AA186" i="2"/>
  <c r="Q185" i="2"/>
  <c r="Q184" i="2"/>
  <c r="Q183" i="2"/>
  <c r="Q182" i="2"/>
  <c r="W182" i="2" s="1"/>
  <c r="Q181" i="2"/>
  <c r="W181" i="2" s="1"/>
  <c r="Q180" i="2"/>
  <c r="O180" i="2"/>
  <c r="H180" i="2"/>
  <c r="Q179" i="2"/>
  <c r="W179" i="2" s="1"/>
  <c r="Q178" i="2"/>
  <c r="AA177" i="2"/>
  <c r="Y177" i="2"/>
  <c r="Q177" i="2"/>
  <c r="W177" i="2" s="1"/>
  <c r="Q176" i="2"/>
  <c r="Q175" i="2"/>
  <c r="Q174" i="2"/>
  <c r="Q173" i="2"/>
  <c r="Q172" i="2"/>
  <c r="Q171" i="2"/>
  <c r="Q170" i="2"/>
  <c r="Q169" i="2"/>
  <c r="Q168" i="2"/>
  <c r="W168" i="2" s="1"/>
  <c r="O168" i="2"/>
  <c r="O167" i="2" s="1"/>
  <c r="O162" i="2" s="1"/>
  <c r="AA167" i="2"/>
  <c r="AA155" i="2" s="1"/>
  <c r="V167" i="2"/>
  <c r="V155" i="2" s="1"/>
  <c r="U167" i="2"/>
  <c r="U155" i="2" s="1"/>
  <c r="T167" i="2"/>
  <c r="S167" i="2"/>
  <c r="R167" i="2"/>
  <c r="R155" i="2" s="1"/>
  <c r="P167" i="2"/>
  <c r="H167" i="2"/>
  <c r="H162" i="2" s="1"/>
  <c r="O161" i="2"/>
  <c r="O160" i="2"/>
  <c r="AA159" i="2"/>
  <c r="W159" i="2"/>
  <c r="U159" i="2"/>
  <c r="T159" i="2"/>
  <c r="S159" i="2"/>
  <c r="R159" i="2"/>
  <c r="Q159" i="2"/>
  <c r="P159" i="2"/>
  <c r="O159" i="2"/>
  <c r="H159" i="2"/>
  <c r="AA156" i="2"/>
  <c r="W156" i="2"/>
  <c r="U156" i="2"/>
  <c r="T156" i="2"/>
  <c r="S156" i="2"/>
  <c r="R156" i="2"/>
  <c r="Q156" i="2"/>
  <c r="P156" i="2"/>
  <c r="O156" i="2"/>
  <c r="H156" i="2"/>
  <c r="T155" i="2"/>
  <c r="S155" i="2"/>
  <c r="P155" i="2"/>
  <c r="Q154" i="2"/>
  <c r="X153" i="2"/>
  <c r="Q153" i="2"/>
  <c r="Y152" i="2"/>
  <c r="X152" i="2"/>
  <c r="Q152" i="2"/>
  <c r="O152" i="2"/>
  <c r="I152" i="2"/>
  <c r="I151" i="2"/>
  <c r="N151" i="2" s="1"/>
  <c r="AA150" i="2"/>
  <c r="V150" i="2"/>
  <c r="U150" i="2"/>
  <c r="T150" i="2"/>
  <c r="S150" i="2"/>
  <c r="R150" i="2"/>
  <c r="P150" i="2"/>
  <c r="O150" i="2"/>
  <c r="M150" i="2"/>
  <c r="L150" i="2"/>
  <c r="K150" i="2"/>
  <c r="J150" i="2"/>
  <c r="H150" i="2"/>
  <c r="I149" i="2"/>
  <c r="N149" i="2" s="1"/>
  <c r="N148" i="2" s="1"/>
  <c r="P148" i="2"/>
  <c r="O148" i="2"/>
  <c r="M148" i="2"/>
  <c r="L148" i="2"/>
  <c r="K148" i="2"/>
  <c r="J148" i="2"/>
  <c r="I148" i="2"/>
  <c r="H148" i="2"/>
  <c r="Q147" i="2"/>
  <c r="I147" i="2"/>
  <c r="N147" i="2" s="1"/>
  <c r="I146" i="2"/>
  <c r="N146" i="2" s="1"/>
  <c r="Q145" i="2"/>
  <c r="Q144" i="2" s="1"/>
  <c r="N145" i="2"/>
  <c r="N144" i="2" s="1"/>
  <c r="I145" i="2"/>
  <c r="AA144" i="2"/>
  <c r="V144" i="2"/>
  <c r="U144" i="2"/>
  <c r="T144" i="2"/>
  <c r="S144" i="2"/>
  <c r="R144" i="2"/>
  <c r="P144" i="2"/>
  <c r="O144" i="2"/>
  <c r="M144" i="2"/>
  <c r="L144" i="2"/>
  <c r="K144" i="2"/>
  <c r="J144" i="2"/>
  <c r="I144" i="2"/>
  <c r="H144" i="2"/>
  <c r="Q143" i="2"/>
  <c r="W142" i="2"/>
  <c r="Q142" i="2"/>
  <c r="O142" i="2"/>
  <c r="I142" i="2"/>
  <c r="N142" i="2" s="1"/>
  <c r="X141" i="2"/>
  <c r="Q141" i="2"/>
  <c r="O141" i="2"/>
  <c r="O138" i="2" s="1"/>
  <c r="N141" i="2"/>
  <c r="I141" i="2"/>
  <c r="Q140" i="2"/>
  <c r="W140" i="2" s="1"/>
  <c r="Q139" i="2"/>
  <c r="Q138" i="2" s="1"/>
  <c r="O139" i="2"/>
  <c r="I139" i="2"/>
  <c r="N139" i="2" s="1"/>
  <c r="AA138" i="2"/>
  <c r="AA122" i="2" s="1"/>
  <c r="V138" i="2"/>
  <c r="U138" i="2"/>
  <c r="T138" i="2"/>
  <c r="S138" i="2"/>
  <c r="R138" i="2"/>
  <c r="P138" i="2"/>
  <c r="M138" i="2"/>
  <c r="L138" i="2"/>
  <c r="K138" i="2"/>
  <c r="J138" i="2"/>
  <c r="H138" i="2"/>
  <c r="I137" i="2"/>
  <c r="N137" i="2" s="1"/>
  <c r="Q136" i="2"/>
  <c r="W136" i="2" s="1"/>
  <c r="I136" i="2"/>
  <c r="N136" i="2" s="1"/>
  <c r="Q135" i="2"/>
  <c r="O135" i="2"/>
  <c r="O130" i="2" s="1"/>
  <c r="I135" i="2"/>
  <c r="N135" i="2" s="1"/>
  <c r="Q134" i="2"/>
  <c r="O134" i="2"/>
  <c r="I134" i="2"/>
  <c r="N134" i="2" s="1"/>
  <c r="Q133" i="2"/>
  <c r="O133" i="2"/>
  <c r="I133" i="2"/>
  <c r="N133" i="2" s="1"/>
  <c r="Q132" i="2"/>
  <c r="W132" i="2" s="1"/>
  <c r="I132" i="2"/>
  <c r="N132" i="2" s="1"/>
  <c r="Q131" i="2"/>
  <c r="I131" i="2"/>
  <c r="N131" i="2" s="1"/>
  <c r="N130" i="2" s="1"/>
  <c r="AA130" i="2"/>
  <c r="V130" i="2"/>
  <c r="V122" i="2" s="1"/>
  <c r="U130" i="2"/>
  <c r="T130" i="2"/>
  <c r="S130" i="2"/>
  <c r="R130" i="2"/>
  <c r="P130" i="2"/>
  <c r="M130" i="2"/>
  <c r="L130" i="2"/>
  <c r="K130" i="2"/>
  <c r="K122" i="2" s="1"/>
  <c r="J130" i="2"/>
  <c r="I130" i="2"/>
  <c r="H130" i="2"/>
  <c r="N129" i="2"/>
  <c r="I129" i="2"/>
  <c r="I128" i="2"/>
  <c r="N128" i="2" s="1"/>
  <c r="I127" i="2"/>
  <c r="I126" i="2"/>
  <c r="N126" i="2" s="1"/>
  <c r="P125" i="2"/>
  <c r="P122" i="2" s="1"/>
  <c r="O125" i="2"/>
  <c r="O123" i="2" s="1"/>
  <c r="M125" i="2"/>
  <c r="M123" i="2" s="1"/>
  <c r="L125" i="2"/>
  <c r="L123" i="2" s="1"/>
  <c r="K125" i="2"/>
  <c r="K123" i="2" s="1"/>
  <c r="J125" i="2"/>
  <c r="H125" i="2"/>
  <c r="H123" i="2" s="1"/>
  <c r="Q124" i="2"/>
  <c r="AA123" i="2"/>
  <c r="V123" i="2"/>
  <c r="U123" i="2"/>
  <c r="T123" i="2"/>
  <c r="S123" i="2"/>
  <c r="R123" i="2"/>
  <c r="Q123" i="2"/>
  <c r="P123" i="2"/>
  <c r="J123" i="2"/>
  <c r="S122" i="2"/>
  <c r="R122" i="2"/>
  <c r="J122" i="2"/>
  <c r="Q120" i="2"/>
  <c r="Q119" i="2"/>
  <c r="Q118" i="2"/>
  <c r="W118" i="2" s="1"/>
  <c r="Q117" i="2"/>
  <c r="W117" i="2" s="1"/>
  <c r="Q116" i="2"/>
  <c r="W116" i="2" s="1"/>
  <c r="W115" i="2"/>
  <c r="Q115" i="2"/>
  <c r="Q114" i="2"/>
  <c r="W114" i="2" s="1"/>
  <c r="Q113" i="2"/>
  <c r="W113" i="2" s="1"/>
  <c r="O113" i="2"/>
  <c r="N113" i="2"/>
  <c r="I113" i="2"/>
  <c r="H113" i="2"/>
  <c r="Q112" i="2"/>
  <c r="P112" i="2"/>
  <c r="W112" i="2" s="1"/>
  <c r="Q111" i="2"/>
  <c r="W111" i="2" s="1"/>
  <c r="N111" i="2"/>
  <c r="I111" i="2"/>
  <c r="Q110" i="2"/>
  <c r="W110" i="2" s="1"/>
  <c r="I110" i="2"/>
  <c r="N110" i="2" s="1"/>
  <c r="Q109" i="2"/>
  <c r="W109" i="2" s="1"/>
  <c r="N109" i="2"/>
  <c r="I109" i="2"/>
  <c r="AA108" i="2"/>
  <c r="U108" i="2"/>
  <c r="T108" i="2"/>
  <c r="S108" i="2"/>
  <c r="R108" i="2"/>
  <c r="P108" i="2"/>
  <c r="O108" i="2"/>
  <c r="O101" i="2" s="1"/>
  <c r="M108" i="2"/>
  <c r="L108" i="2"/>
  <c r="K108" i="2"/>
  <c r="J108" i="2"/>
  <c r="I108" i="2"/>
  <c r="H108" i="2"/>
  <c r="Q107" i="2"/>
  <c r="Q106" i="2" s="1"/>
  <c r="I107" i="2"/>
  <c r="N107" i="2" s="1"/>
  <c r="N106" i="2" s="1"/>
  <c r="AA106" i="2"/>
  <c r="W106" i="2"/>
  <c r="U106" i="2"/>
  <c r="T106" i="2"/>
  <c r="S106" i="2"/>
  <c r="R106" i="2"/>
  <c r="P106" i="2"/>
  <c r="O106" i="2"/>
  <c r="M106" i="2"/>
  <c r="L106" i="2"/>
  <c r="K106" i="2"/>
  <c r="J106" i="2"/>
  <c r="I106" i="2"/>
  <c r="H106" i="2"/>
  <c r="Q105" i="2"/>
  <c r="W105" i="2" s="1"/>
  <c r="I105" i="2"/>
  <c r="N105" i="2" s="1"/>
  <c r="N104" i="2" s="1"/>
  <c r="AA104" i="2"/>
  <c r="W104" i="2"/>
  <c r="U104" i="2"/>
  <c r="T104" i="2"/>
  <c r="T101" i="2" s="1"/>
  <c r="S104" i="2"/>
  <c r="R104" i="2"/>
  <c r="P104" i="2"/>
  <c r="O104" i="2"/>
  <c r="M104" i="2"/>
  <c r="M101" i="2" s="1"/>
  <c r="L104" i="2"/>
  <c r="K104" i="2"/>
  <c r="J104" i="2"/>
  <c r="H104" i="2"/>
  <c r="Q103" i="2"/>
  <c r="W103" i="2" s="1"/>
  <c r="I103" i="2"/>
  <c r="N103" i="2" s="1"/>
  <c r="Q102" i="2"/>
  <c r="W102" i="2" s="1"/>
  <c r="AA101" i="2"/>
  <c r="V101" i="2"/>
  <c r="U101" i="2"/>
  <c r="P101" i="2"/>
  <c r="L101" i="2"/>
  <c r="H101" i="2"/>
  <c r="X100" i="2"/>
  <c r="Q100" i="2"/>
  <c r="O100" i="2"/>
  <c r="N100" i="2"/>
  <c r="I100" i="2"/>
  <c r="X99" i="2"/>
  <c r="Q99" i="2"/>
  <c r="O99" i="2"/>
  <c r="I99" i="2"/>
  <c r="N99" i="2" s="1"/>
  <c r="I98" i="2"/>
  <c r="N98" i="2" s="1"/>
  <c r="N97" i="2" s="1"/>
  <c r="AA97" i="2"/>
  <c r="W97" i="2"/>
  <c r="V97" i="2"/>
  <c r="U97" i="2"/>
  <c r="T97" i="2"/>
  <c r="S97" i="2"/>
  <c r="R97" i="2"/>
  <c r="Q97" i="2"/>
  <c r="P97" i="2"/>
  <c r="M97" i="2"/>
  <c r="L97" i="2"/>
  <c r="L93" i="2" s="1"/>
  <c r="K97" i="2"/>
  <c r="J97" i="2"/>
  <c r="J93" i="2" s="1"/>
  <c r="H97" i="2"/>
  <c r="Q96" i="2"/>
  <c r="W96" i="2" s="1"/>
  <c r="W93" i="2" s="1"/>
  <c r="O96" i="2"/>
  <c r="I96" i="2"/>
  <c r="N96" i="2" s="1"/>
  <c r="Q95" i="2"/>
  <c r="O95" i="2"/>
  <c r="O94" i="2" s="1"/>
  <c r="I95" i="2"/>
  <c r="N95" i="2" s="1"/>
  <c r="AA94" i="2"/>
  <c r="V94" i="2"/>
  <c r="U94" i="2"/>
  <c r="T94" i="2"/>
  <c r="T93" i="2" s="1"/>
  <c r="S94" i="2"/>
  <c r="S93" i="2" s="1"/>
  <c r="R94" i="2"/>
  <c r="P94" i="2"/>
  <c r="M94" i="2"/>
  <c r="M93" i="2" s="1"/>
  <c r="L94" i="2"/>
  <c r="K94" i="2"/>
  <c r="K93" i="2" s="1"/>
  <c r="J94" i="2"/>
  <c r="I94" i="2"/>
  <c r="H94" i="2"/>
  <c r="H93" i="2" s="1"/>
  <c r="AA93" i="2"/>
  <c r="P93" i="2"/>
  <c r="Q92" i="2"/>
  <c r="W92" i="2" s="1"/>
  <c r="W88" i="2" s="1"/>
  <c r="X91" i="2"/>
  <c r="Q91" i="2"/>
  <c r="Q88" i="2" s="1"/>
  <c r="I91" i="2"/>
  <c r="N91" i="2" s="1"/>
  <c r="I90" i="2"/>
  <c r="I88" i="2" s="1"/>
  <c r="I89" i="2"/>
  <c r="N89" i="2" s="1"/>
  <c r="AA88" i="2"/>
  <c r="V88" i="2"/>
  <c r="U88" i="2"/>
  <c r="T88" i="2"/>
  <c r="S88" i="2"/>
  <c r="R88" i="2"/>
  <c r="P88" i="2"/>
  <c r="O88" i="2"/>
  <c r="M88" i="2"/>
  <c r="L88" i="2"/>
  <c r="K88" i="2"/>
  <c r="J88" i="2"/>
  <c r="H88" i="2"/>
  <c r="N87" i="2"/>
  <c r="I87" i="2"/>
  <c r="P86" i="2"/>
  <c r="O86" i="2"/>
  <c r="N86" i="2"/>
  <c r="M86" i="2"/>
  <c r="L86" i="2"/>
  <c r="K86" i="2"/>
  <c r="J86" i="2"/>
  <c r="I86" i="2"/>
  <c r="H86" i="2"/>
  <c r="O85" i="2"/>
  <c r="N85" i="2"/>
  <c r="I85" i="2"/>
  <c r="X84" i="2"/>
  <c r="Q84" i="2"/>
  <c r="O84" i="2"/>
  <c r="Q83" i="2"/>
  <c r="W83" i="2" s="1"/>
  <c r="X82" i="2"/>
  <c r="Q82" i="2"/>
  <c r="O82" i="2"/>
  <c r="I82" i="2"/>
  <c r="N82" i="2" s="1"/>
  <c r="W81" i="2"/>
  <c r="Q81" i="2"/>
  <c r="O81" i="2"/>
  <c r="I81" i="2"/>
  <c r="N81" i="2" s="1"/>
  <c r="X80" i="2"/>
  <c r="Q80" i="2"/>
  <c r="O80" i="2"/>
  <c r="N80" i="2"/>
  <c r="I80" i="2"/>
  <c r="H80" i="2"/>
  <c r="I79" i="2"/>
  <c r="I75" i="2" s="1"/>
  <c r="I78" i="2"/>
  <c r="N78" i="2" s="1"/>
  <c r="I77" i="2"/>
  <c r="N77" i="2" s="1"/>
  <c r="O76" i="2"/>
  <c r="I76" i="2"/>
  <c r="N76" i="2" s="1"/>
  <c r="AA75" i="2"/>
  <c r="V75" i="2"/>
  <c r="U75" i="2"/>
  <c r="T75" i="2"/>
  <c r="S75" i="2"/>
  <c r="R75" i="2"/>
  <c r="R59" i="2" s="1"/>
  <c r="Q75" i="2"/>
  <c r="P75" i="2"/>
  <c r="M75" i="2"/>
  <c r="L75" i="2"/>
  <c r="K75" i="2"/>
  <c r="J75" i="2"/>
  <c r="H75" i="2"/>
  <c r="Q74" i="2"/>
  <c r="O74" i="2"/>
  <c r="N74" i="2"/>
  <c r="I74" i="2"/>
  <c r="I73" i="2"/>
  <c r="N73" i="2" s="1"/>
  <c r="I72" i="2"/>
  <c r="I71" i="2"/>
  <c r="N71" i="2" s="1"/>
  <c r="AA70" i="2"/>
  <c r="AA59" i="2" s="1"/>
  <c r="W59" i="2"/>
  <c r="V70" i="2"/>
  <c r="U70" i="2"/>
  <c r="T70" i="2"/>
  <c r="S70" i="2"/>
  <c r="R70" i="2"/>
  <c r="Q70" i="2"/>
  <c r="P70" i="2"/>
  <c r="O70" i="2"/>
  <c r="M70" i="2"/>
  <c r="L70" i="2"/>
  <c r="K70" i="2"/>
  <c r="J70" i="2"/>
  <c r="H70" i="2"/>
  <c r="X69" i="2"/>
  <c r="Q69" i="2"/>
  <c r="I69" i="2"/>
  <c r="N69" i="2" s="1"/>
  <c r="X68" i="2"/>
  <c r="Q68" i="2"/>
  <c r="O68" i="2"/>
  <c r="I68" i="2"/>
  <c r="N68" i="2" s="1"/>
  <c r="H68" i="2"/>
  <c r="Q67" i="2"/>
  <c r="J67" i="2"/>
  <c r="I67" i="2" s="1"/>
  <c r="N67" i="2" s="1"/>
  <c r="X66" i="2"/>
  <c r="Q66" i="2"/>
  <c r="Q65" i="2" s="1"/>
  <c r="M66" i="2"/>
  <c r="J66" i="2"/>
  <c r="I66" i="2"/>
  <c r="N66" i="2" s="1"/>
  <c r="AA65" i="2"/>
  <c r="U65" i="2"/>
  <c r="T65" i="2"/>
  <c r="S65" i="2"/>
  <c r="R65" i="2"/>
  <c r="P65" i="2"/>
  <c r="O65" i="2"/>
  <c r="M65" i="2"/>
  <c r="L65" i="2"/>
  <c r="K65" i="2"/>
  <c r="J65" i="2"/>
  <c r="H65" i="2"/>
  <c r="O64" i="2"/>
  <c r="I64" i="2"/>
  <c r="N64" i="2" s="1"/>
  <c r="H64" i="2"/>
  <c r="O63" i="2"/>
  <c r="I63" i="2"/>
  <c r="N63" i="2" s="1"/>
  <c r="P62" i="2"/>
  <c r="P59" i="2" s="1"/>
  <c r="O62" i="2"/>
  <c r="M62" i="2"/>
  <c r="M59" i="2" s="1"/>
  <c r="L62" i="2"/>
  <c r="K62" i="2"/>
  <c r="J62" i="2"/>
  <c r="I62" i="2"/>
  <c r="H62" i="2"/>
  <c r="Q61" i="2"/>
  <c r="O61" i="2"/>
  <c r="I61" i="2"/>
  <c r="N61" i="2" s="1"/>
  <c r="Q60" i="2"/>
  <c r="O60" i="2"/>
  <c r="I60" i="2"/>
  <c r="N60" i="2" s="1"/>
  <c r="V59" i="2"/>
  <c r="S59" i="2"/>
  <c r="Q58" i="2"/>
  <c r="I58" i="2"/>
  <c r="N58" i="2" s="1"/>
  <c r="X57" i="2"/>
  <c r="Q57" i="2"/>
  <c r="J57" i="2"/>
  <c r="J55" i="2" s="1"/>
  <c r="J53" i="2" s="1"/>
  <c r="Q56" i="2"/>
  <c r="Q55" i="2" s="1"/>
  <c r="Q53" i="2" s="1"/>
  <c r="I56" i="2"/>
  <c r="N56" i="2" s="1"/>
  <c r="AA55" i="2"/>
  <c r="AA53" i="2" s="1"/>
  <c r="V55" i="2"/>
  <c r="U55" i="2"/>
  <c r="T55" i="2"/>
  <c r="T53" i="2" s="1"/>
  <c r="S55" i="2"/>
  <c r="S53" i="2" s="1"/>
  <c r="R55" i="2"/>
  <c r="P55" i="2"/>
  <c r="P53" i="2" s="1"/>
  <c r="O55" i="2"/>
  <c r="O53" i="2" s="1"/>
  <c r="M55" i="2"/>
  <c r="L55" i="2"/>
  <c r="L53" i="2" s="1"/>
  <c r="K55" i="2"/>
  <c r="K53" i="2" s="1"/>
  <c r="H55" i="2"/>
  <c r="Q54" i="2"/>
  <c r="O54" i="2"/>
  <c r="I54" i="2"/>
  <c r="H54" i="2"/>
  <c r="H53" i="2" s="1"/>
  <c r="V53" i="2"/>
  <c r="U53" i="2"/>
  <c r="R53" i="2"/>
  <c r="M53" i="2"/>
  <c r="Q49" i="2"/>
  <c r="W49" i="2" s="1"/>
  <c r="W42" i="2" s="1"/>
  <c r="Q48" i="2"/>
  <c r="O48" i="2"/>
  <c r="I48" i="2"/>
  <c r="N48" i="2" s="1"/>
  <c r="Q47" i="2"/>
  <c r="O47" i="2"/>
  <c r="O45" i="2" s="1"/>
  <c r="I47" i="2"/>
  <c r="N47" i="2" s="1"/>
  <c r="O46" i="2"/>
  <c r="I46" i="2"/>
  <c r="N46" i="2" s="1"/>
  <c r="AA45" i="2"/>
  <c r="V45" i="2"/>
  <c r="U45" i="2"/>
  <c r="T45" i="2"/>
  <c r="S45" i="2"/>
  <c r="R45" i="2"/>
  <c r="P45" i="2"/>
  <c r="M45" i="2"/>
  <c r="L45" i="2"/>
  <c r="L42" i="2" s="1"/>
  <c r="K45" i="2"/>
  <c r="J45" i="2"/>
  <c r="H45" i="2"/>
  <c r="I44" i="2"/>
  <c r="N44" i="2" s="1"/>
  <c r="N43" i="2" s="1"/>
  <c r="P43" i="2"/>
  <c r="O43" i="2"/>
  <c r="M43" i="2"/>
  <c r="M42" i="2" s="1"/>
  <c r="L43" i="2"/>
  <c r="K43" i="2"/>
  <c r="K42" i="2" s="1"/>
  <c r="J43" i="2"/>
  <c r="J42" i="2" s="1"/>
  <c r="H43" i="2"/>
  <c r="AA42" i="2"/>
  <c r="V42" i="2"/>
  <c r="V17" i="2" s="1"/>
  <c r="V16" i="2" s="1"/>
  <c r="V15" i="2" s="1"/>
  <c r="U42" i="2"/>
  <c r="T42" i="2"/>
  <c r="S42" i="2"/>
  <c r="R42" i="2"/>
  <c r="R17" i="2" s="1"/>
  <c r="R16" i="2" s="1"/>
  <c r="R15" i="2" s="1"/>
  <c r="P42" i="2"/>
  <c r="H42" i="2"/>
  <c r="Q41" i="2"/>
  <c r="W41" i="2" s="1"/>
  <c r="Q40" i="2"/>
  <c r="W40" i="2" s="1"/>
  <c r="I40" i="2"/>
  <c r="N40" i="2" s="1"/>
  <c r="Q39" i="2"/>
  <c r="W39" i="2" s="1"/>
  <c r="I39" i="2"/>
  <c r="Q38" i="2"/>
  <c r="P38" i="2"/>
  <c r="O38" i="2"/>
  <c r="M38" i="2"/>
  <c r="L38" i="2"/>
  <c r="K38" i="2"/>
  <c r="J38" i="2"/>
  <c r="H38" i="2"/>
  <c r="W37" i="2"/>
  <c r="Q37" i="2"/>
  <c r="N37" i="2"/>
  <c r="I37" i="2"/>
  <c r="W36" i="2"/>
  <c r="Q36" i="2"/>
  <c r="N36" i="2"/>
  <c r="I36" i="2"/>
  <c r="W35" i="2"/>
  <c r="Q35" i="2"/>
  <c r="N35" i="2"/>
  <c r="N34" i="2" s="1"/>
  <c r="I35" i="2"/>
  <c r="I34" i="2" s="1"/>
  <c r="Q34" i="2"/>
  <c r="P34" i="2"/>
  <c r="W34" i="2" s="1"/>
  <c r="O34" i="2"/>
  <c r="M34" i="2"/>
  <c r="L34" i="2"/>
  <c r="K34" i="2"/>
  <c r="J34" i="2"/>
  <c r="H34" i="2"/>
  <c r="Q33" i="2"/>
  <c r="W33" i="2" s="1"/>
  <c r="I33" i="2"/>
  <c r="N33" i="2" s="1"/>
  <c r="Q32" i="2"/>
  <c r="W32" i="2" s="1"/>
  <c r="I32" i="2"/>
  <c r="N32" i="2" s="1"/>
  <c r="Q31" i="2"/>
  <c r="W31" i="2" s="1"/>
  <c r="I31" i="2"/>
  <c r="N31" i="2" s="1"/>
  <c r="Q30" i="2"/>
  <c r="W30" i="2" s="1"/>
  <c r="P30" i="2"/>
  <c r="O30" i="2"/>
  <c r="M30" i="2"/>
  <c r="L30" i="2"/>
  <c r="K30" i="2"/>
  <c r="J30" i="2"/>
  <c r="H30" i="2"/>
  <c r="Q29" i="2"/>
  <c r="W29" i="2" s="1"/>
  <c r="I29" i="2"/>
  <c r="N29" i="2" s="1"/>
  <c r="Q28" i="2"/>
  <c r="W28" i="2" s="1"/>
  <c r="I28" i="2"/>
  <c r="N28" i="2" s="1"/>
  <c r="Q27" i="2"/>
  <c r="P27" i="2"/>
  <c r="P24" i="2" s="1"/>
  <c r="P17" i="2" s="1"/>
  <c r="P16" i="2" s="1"/>
  <c r="P15" i="2" s="1"/>
  <c r="O27" i="2"/>
  <c r="M27" i="2"/>
  <c r="M24" i="2" s="1"/>
  <c r="L27" i="2"/>
  <c r="K27" i="2"/>
  <c r="K24" i="2" s="1"/>
  <c r="J27" i="2"/>
  <c r="I27" i="2"/>
  <c r="H27" i="2"/>
  <c r="Q26" i="2"/>
  <c r="W26" i="2" s="1"/>
  <c r="I26" i="2"/>
  <c r="N26" i="2" s="1"/>
  <c r="Q25" i="2"/>
  <c r="W25" i="2" s="1"/>
  <c r="O25" i="2"/>
  <c r="N25" i="2"/>
  <c r="I25" i="2"/>
  <c r="AA24" i="2"/>
  <c r="U24" i="2"/>
  <c r="T24" i="2"/>
  <c r="S24" i="2"/>
  <c r="R24" i="2"/>
  <c r="O24" i="2"/>
  <c r="I23" i="2"/>
  <c r="N23" i="2" s="1"/>
  <c r="I22" i="2"/>
  <c r="N22" i="2" s="1"/>
  <c r="I21" i="2"/>
  <c r="N21" i="2" s="1"/>
  <c r="Q20" i="2"/>
  <c r="W20" i="2" s="1"/>
  <c r="O20" i="2"/>
  <c r="M20" i="2"/>
  <c r="L20" i="2"/>
  <c r="K20" i="2"/>
  <c r="J20" i="2"/>
  <c r="I20" i="2"/>
  <c r="H20" i="2"/>
  <c r="W19" i="2"/>
  <c r="Q19" i="2"/>
  <c r="O19" i="2"/>
  <c r="I19" i="2"/>
  <c r="H19" i="2"/>
  <c r="N19" i="2" s="1"/>
  <c r="AA18" i="2"/>
  <c r="AA17" i="2" s="1"/>
  <c r="AA16" i="2" s="1"/>
  <c r="AA15" i="2" s="1"/>
  <c r="U18" i="2"/>
  <c r="U17" i="2" s="1"/>
  <c r="U16" i="2" s="1"/>
  <c r="U15" i="2" s="1"/>
  <c r="T18" i="2"/>
  <c r="S18" i="2"/>
  <c r="R18" i="2"/>
  <c r="Q18" i="2"/>
  <c r="P18" i="2"/>
  <c r="O18" i="2"/>
  <c r="M18" i="2"/>
  <c r="L18" i="2"/>
  <c r="K18" i="2"/>
  <c r="J18" i="2"/>
  <c r="H18" i="2"/>
  <c r="Q14" i="2"/>
  <c r="O14" i="2"/>
  <c r="O12" i="2" s="1"/>
  <c r="O11" i="2" s="1"/>
  <c r="I14" i="2"/>
  <c r="H14" i="2"/>
  <c r="N14" i="2" s="1"/>
  <c r="Q13" i="2"/>
  <c r="O13" i="2"/>
  <c r="I13" i="2"/>
  <c r="H13" i="2"/>
  <c r="AA12" i="2"/>
  <c r="W11" i="2"/>
  <c r="V12" i="2"/>
  <c r="U12" i="2"/>
  <c r="T12" i="2"/>
  <c r="S12" i="2"/>
  <c r="R12" i="2"/>
  <c r="Q12" i="2"/>
  <c r="P12" i="2"/>
  <c r="M12" i="2"/>
  <c r="L12" i="2"/>
  <c r="K12" i="2"/>
  <c r="J12" i="2"/>
  <c r="I12" i="2"/>
  <c r="AA11" i="2"/>
  <c r="U11" i="2"/>
  <c r="T11" i="2"/>
  <c r="S11" i="2"/>
  <c r="R11" i="2"/>
  <c r="Q11" i="2"/>
  <c r="P11" i="2"/>
  <c r="M11" i="2"/>
  <c r="L11" i="2"/>
  <c r="K11" i="2"/>
  <c r="J11" i="2"/>
  <c r="I11" i="2"/>
  <c r="V533" i="2" l="1"/>
  <c r="V531" i="2" s="1"/>
  <c r="AA533" i="2"/>
  <c r="AA531" i="2" s="1"/>
  <c r="AB543" i="2"/>
  <c r="T533" i="2"/>
  <c r="T531" i="2" s="1"/>
  <c r="W534" i="2"/>
  <c r="S533" i="2"/>
  <c r="S531" i="2" s="1"/>
  <c r="J531" i="2"/>
  <c r="N516" i="2"/>
  <c r="N513" i="2" s="1"/>
  <c r="N512" i="2" s="1"/>
  <c r="N511" i="2" s="1"/>
  <c r="Q516" i="2"/>
  <c r="Q513" i="2" s="1"/>
  <c r="Q512" i="2" s="1"/>
  <c r="Q511" i="2" s="1"/>
  <c r="I516" i="2"/>
  <c r="I513" i="2" s="1"/>
  <c r="I512" i="2" s="1"/>
  <c r="I511" i="2" s="1"/>
  <c r="W516" i="2"/>
  <c r="K488" i="2"/>
  <c r="U488" i="2"/>
  <c r="O488" i="2"/>
  <c r="I436" i="2"/>
  <c r="Q393" i="2"/>
  <c r="AB384" i="2"/>
  <c r="K384" i="2"/>
  <c r="AB363" i="2"/>
  <c r="AB354" i="2"/>
  <c r="AB347" i="2" s="1"/>
  <c r="J354" i="2"/>
  <c r="J347" i="2" s="1"/>
  <c r="M347" i="2"/>
  <c r="M269" i="2" s="1"/>
  <c r="V269" i="2"/>
  <c r="S354" i="2"/>
  <c r="S347" i="2" s="1"/>
  <c r="U354" i="2"/>
  <c r="R347" i="2"/>
  <c r="R269" i="2" s="1"/>
  <c r="P347" i="2"/>
  <c r="U270" i="2"/>
  <c r="Q306" i="2"/>
  <c r="N324" i="2"/>
  <c r="N325" i="2"/>
  <c r="AB306" i="2"/>
  <c r="N294" i="2"/>
  <c r="I294" i="2"/>
  <c r="P271" i="2"/>
  <c r="P270" i="2" s="1"/>
  <c r="P269" i="2" s="1"/>
  <c r="AB272" i="2"/>
  <c r="AB271" i="2" s="1"/>
  <c r="S271" i="2"/>
  <c r="S270" i="2" s="1"/>
  <c r="J269" i="2"/>
  <c r="Q272" i="2"/>
  <c r="K271" i="2"/>
  <c r="K270" i="2" s="1"/>
  <c r="Q261" i="2"/>
  <c r="Q257" i="2" s="1"/>
  <c r="K229" i="2"/>
  <c r="I257" i="2"/>
  <c r="T241" i="2"/>
  <c r="T240" i="2" s="1"/>
  <c r="T229" i="2" s="1"/>
  <c r="Q249" i="2"/>
  <c r="AB249" i="2"/>
  <c r="J229" i="2"/>
  <c r="H229" i="2"/>
  <c r="L229" i="2"/>
  <c r="U229" i="2"/>
  <c r="Q241" i="2"/>
  <c r="Q240" i="2" s="1"/>
  <c r="AB241" i="2"/>
  <c r="AB240" i="2" s="1"/>
  <c r="AB229" i="2" s="1"/>
  <c r="P229" i="2"/>
  <c r="O229" i="2"/>
  <c r="I233" i="2"/>
  <c r="I229" i="2" s="1"/>
  <c r="N233" i="2"/>
  <c r="M233" i="2"/>
  <c r="M229" i="2" s="1"/>
  <c r="AA229" i="2"/>
  <c r="S215" i="2"/>
  <c r="S212" i="2" s="1"/>
  <c r="W218" i="2"/>
  <c r="T188" i="2"/>
  <c r="T187" i="2" s="1"/>
  <c r="T186" i="2" s="1"/>
  <c r="N196" i="2"/>
  <c r="I201" i="2"/>
  <c r="Q201" i="2"/>
  <c r="Q196" i="2" s="1"/>
  <c r="AB188" i="2"/>
  <c r="AB187" i="2" s="1"/>
  <c r="AB186" i="2" s="1"/>
  <c r="I205" i="2"/>
  <c r="W205" i="2"/>
  <c r="I196" i="2"/>
  <c r="K204" i="2"/>
  <c r="L188" i="2"/>
  <c r="L187" i="2" s="1"/>
  <c r="L186" i="2" s="1"/>
  <c r="M188" i="2"/>
  <c r="M187" i="2" s="1"/>
  <c r="M186" i="2" s="1"/>
  <c r="P188" i="2"/>
  <c r="P187" i="2" s="1"/>
  <c r="P186" i="2" s="1"/>
  <c r="J188" i="2"/>
  <c r="J187" i="2" s="1"/>
  <c r="J186" i="2" s="1"/>
  <c r="K188" i="2"/>
  <c r="K187" i="2" s="1"/>
  <c r="K186" i="2" s="1"/>
  <c r="O188" i="2"/>
  <c r="O187" i="2" s="1"/>
  <c r="O186" i="2" s="1"/>
  <c r="Q191" i="2"/>
  <c r="Q189" i="2" s="1"/>
  <c r="Q188" i="2" s="1"/>
  <c r="Q187" i="2" s="1"/>
  <c r="Q186" i="2" s="1"/>
  <c r="R188" i="2"/>
  <c r="R187" i="2" s="1"/>
  <c r="R186" i="2" s="1"/>
  <c r="S121" i="2"/>
  <c r="Q167" i="2"/>
  <c r="Q155" i="2" s="1"/>
  <c r="O155" i="2"/>
  <c r="R121" i="2"/>
  <c r="V121" i="2"/>
  <c r="V10" i="2" s="1"/>
  <c r="P121" i="2"/>
  <c r="N138" i="2"/>
  <c r="U122" i="2"/>
  <c r="U121" i="2" s="1"/>
  <c r="T122" i="2"/>
  <c r="T121" i="2" s="1"/>
  <c r="L122" i="2"/>
  <c r="I125" i="2"/>
  <c r="I123" i="2" s="1"/>
  <c r="M122" i="2"/>
  <c r="AA121" i="2"/>
  <c r="O122" i="2"/>
  <c r="O121" i="2" s="1"/>
  <c r="O112" i="2" s="1"/>
  <c r="N108" i="2"/>
  <c r="N101" i="2" s="1"/>
  <c r="K101" i="2"/>
  <c r="I104" i="2"/>
  <c r="I101" i="2" s="1"/>
  <c r="Q108" i="2"/>
  <c r="W108" i="2" s="1"/>
  <c r="W101" i="2" s="1"/>
  <c r="S101" i="2"/>
  <c r="Q104" i="2"/>
  <c r="Q101" i="2" s="1"/>
  <c r="R93" i="2"/>
  <c r="N94" i="2"/>
  <c r="N93" i="2" s="1"/>
  <c r="U93" i="2"/>
  <c r="V93" i="2"/>
  <c r="V52" i="2"/>
  <c r="V51" i="2" s="1"/>
  <c r="V50" i="2" s="1"/>
  <c r="R52" i="2"/>
  <c r="R51" i="2" s="1"/>
  <c r="R50" i="2" s="1"/>
  <c r="Q94" i="2"/>
  <c r="Q93" i="2" s="1"/>
  <c r="W52" i="2"/>
  <c r="W51" i="2" s="1"/>
  <c r="W50" i="2" s="1"/>
  <c r="H59" i="2"/>
  <c r="H52" i="2"/>
  <c r="H51" i="2" s="1"/>
  <c r="H50" i="2" s="1"/>
  <c r="L59" i="2"/>
  <c r="L52" i="2" s="1"/>
  <c r="L51" i="2" s="1"/>
  <c r="L50" i="2" s="1"/>
  <c r="J59" i="2"/>
  <c r="J52" i="2" s="1"/>
  <c r="J51" i="2" s="1"/>
  <c r="J50" i="2" s="1"/>
  <c r="K59" i="2"/>
  <c r="W384" i="2"/>
  <c r="S384" i="2"/>
  <c r="Q381" i="2"/>
  <c r="W383" i="2"/>
  <c r="W381" i="2" s="1"/>
  <c r="O374" i="2"/>
  <c r="T347" i="2"/>
  <c r="T269" i="2" s="1"/>
  <c r="AB375" i="2"/>
  <c r="AB374" i="2" s="1"/>
  <c r="W503" i="2"/>
  <c r="W501" i="2" s="1"/>
  <c r="AB503" i="2"/>
  <c r="AB501" i="2" s="1"/>
  <c r="H488" i="2"/>
  <c r="L488" i="2"/>
  <c r="M488" i="2"/>
  <c r="S488" i="2"/>
  <c r="W499" i="2"/>
  <c r="W497" i="2" s="1"/>
  <c r="T488" i="2"/>
  <c r="P488" i="2"/>
  <c r="AB468" i="2"/>
  <c r="S468" i="2"/>
  <c r="AB475" i="2"/>
  <c r="AA468" i="2"/>
  <c r="AB459" i="2"/>
  <c r="L418" i="2"/>
  <c r="L399" i="2" s="1"/>
  <c r="L398" i="2" s="1"/>
  <c r="L397" i="2" s="1"/>
  <c r="L391" i="2" s="1"/>
  <c r="P418" i="2"/>
  <c r="P399" i="2" s="1"/>
  <c r="P398" i="2" s="1"/>
  <c r="P397" i="2" s="1"/>
  <c r="R418" i="2"/>
  <c r="V418" i="2"/>
  <c r="H418" i="2"/>
  <c r="U418" i="2"/>
  <c r="U399" i="2" s="1"/>
  <c r="U398" i="2" s="1"/>
  <c r="U397" i="2" s="1"/>
  <c r="R399" i="2"/>
  <c r="R398" i="2" s="1"/>
  <c r="R397" i="2" s="1"/>
  <c r="V399" i="2"/>
  <c r="V398" i="2" s="1"/>
  <c r="V397" i="2" s="1"/>
  <c r="S418" i="2"/>
  <c r="S399" i="2" s="1"/>
  <c r="S398" i="2" s="1"/>
  <c r="S397" i="2" s="1"/>
  <c r="AB421" i="2"/>
  <c r="AB418" i="2" s="1"/>
  <c r="T418" i="2"/>
  <c r="T399" i="2" s="1"/>
  <c r="T398" i="2" s="1"/>
  <c r="T397" i="2" s="1"/>
  <c r="AA418" i="2"/>
  <c r="W421" i="2"/>
  <c r="W407" i="2"/>
  <c r="X400" i="2" s="1"/>
  <c r="Q407" i="2"/>
  <c r="AB400" i="2"/>
  <c r="Q59" i="2"/>
  <c r="Q52" i="2" s="1"/>
  <c r="Q51" i="2" s="1"/>
  <c r="Q50" i="2" s="1"/>
  <c r="I70" i="2"/>
  <c r="U59" i="2"/>
  <c r="U52" i="2" s="1"/>
  <c r="U51" i="2" s="1"/>
  <c r="U50" i="2" s="1"/>
  <c r="AB52" i="2"/>
  <c r="AB51" i="2" s="1"/>
  <c r="AB50" i="2" s="1"/>
  <c r="S52" i="2"/>
  <c r="S51" i="2" s="1"/>
  <c r="S50" i="2" s="1"/>
  <c r="T59" i="2"/>
  <c r="T52" i="2" s="1"/>
  <c r="T51" i="2" s="1"/>
  <c r="T50" i="2" s="1"/>
  <c r="N62" i="2"/>
  <c r="M52" i="2"/>
  <c r="M51" i="2" s="1"/>
  <c r="M50" i="2" s="1"/>
  <c r="K52" i="2"/>
  <c r="K51" i="2" s="1"/>
  <c r="K50" i="2" s="1"/>
  <c r="S17" i="2"/>
  <c r="S16" i="2" s="1"/>
  <c r="S15" i="2" s="1"/>
  <c r="Q45" i="2"/>
  <c r="Q42" i="2" s="1"/>
  <c r="AB42" i="2"/>
  <c r="T17" i="2"/>
  <c r="T16" i="2" s="1"/>
  <c r="T15" i="2" s="1"/>
  <c r="I43" i="2"/>
  <c r="N20" i="2"/>
  <c r="N27" i="2"/>
  <c r="N18" i="2"/>
  <c r="W18" i="2"/>
  <c r="J24" i="2"/>
  <c r="J17" i="2" s="1"/>
  <c r="J16" i="2" s="1"/>
  <c r="J15" i="2" s="1"/>
  <c r="I30" i="2"/>
  <c r="I24" i="2"/>
  <c r="I38" i="2"/>
  <c r="I18" i="2"/>
  <c r="M17" i="2"/>
  <c r="M16" i="2" s="1"/>
  <c r="M15" i="2" s="1"/>
  <c r="M10" i="2" s="1"/>
  <c r="Q24" i="2"/>
  <c r="Q17" i="2" s="1"/>
  <c r="Q16" i="2" s="1"/>
  <c r="Q15" i="2" s="1"/>
  <c r="H24" i="2"/>
  <c r="H17" i="2" s="1"/>
  <c r="H16" i="2" s="1"/>
  <c r="H15" i="2" s="1"/>
  <c r="L24" i="2"/>
  <c r="L17" i="2" s="1"/>
  <c r="L16" i="2" s="1"/>
  <c r="L15" i="2" s="1"/>
  <c r="W38" i="2"/>
  <c r="AB18" i="2"/>
  <c r="AB122" i="2"/>
  <c r="AB121" i="2" s="1"/>
  <c r="AB488" i="2"/>
  <c r="AB533" i="2"/>
  <c r="AB531" i="2" s="1"/>
  <c r="K17" i="2"/>
  <c r="K16" i="2" s="1"/>
  <c r="K15" i="2" s="1"/>
  <c r="N30" i="2"/>
  <c r="AA52" i="2"/>
  <c r="AA51" i="2" s="1"/>
  <c r="AA50" i="2" s="1"/>
  <c r="N24" i="2"/>
  <c r="O42" i="2"/>
  <c r="O17" i="2" s="1"/>
  <c r="O16" i="2" s="1"/>
  <c r="O15" i="2" s="1"/>
  <c r="P52" i="2"/>
  <c r="P51" i="2" s="1"/>
  <c r="P50" i="2" s="1"/>
  <c r="N65" i="2"/>
  <c r="H12" i="2"/>
  <c r="H11" i="2" s="1"/>
  <c r="N13" i="2"/>
  <c r="N12" i="2" s="1"/>
  <c r="N11" i="2" s="1"/>
  <c r="N45" i="2"/>
  <c r="N42" i="2" s="1"/>
  <c r="U347" i="2"/>
  <c r="I207" i="2"/>
  <c r="I204" i="2" s="1"/>
  <c r="I188" i="2" s="1"/>
  <c r="I187" i="2" s="1"/>
  <c r="I186" i="2" s="1"/>
  <c r="N208" i="2"/>
  <c r="N207" i="2" s="1"/>
  <c r="N204" i="2" s="1"/>
  <c r="I215" i="2"/>
  <c r="I212" i="2" s="1"/>
  <c r="N217" i="2"/>
  <c r="N215" i="2" s="1"/>
  <c r="N212" i="2" s="1"/>
  <c r="N368" i="2"/>
  <c r="I363" i="2"/>
  <c r="I354" i="2" s="1"/>
  <c r="I421" i="2"/>
  <c r="N423" i="2"/>
  <c r="N421" i="2" s="1"/>
  <c r="I496" i="2"/>
  <c r="J494" i="2"/>
  <c r="O532" i="2"/>
  <c r="O531" i="2"/>
  <c r="N39" i="2"/>
  <c r="N38" i="2" s="1"/>
  <c r="I57" i="2"/>
  <c r="N79" i="2"/>
  <c r="O75" i="2"/>
  <c r="O59" i="2" s="1"/>
  <c r="N88" i="2"/>
  <c r="O97" i="2"/>
  <c r="O93" i="2" s="1"/>
  <c r="J101" i="2"/>
  <c r="R101" i="2"/>
  <c r="Q130" i="2"/>
  <c r="Q122" i="2" s="1"/>
  <c r="Q150" i="2"/>
  <c r="H155" i="2"/>
  <c r="W170" i="2"/>
  <c r="N192" i="2"/>
  <c r="N191" i="2" s="1"/>
  <c r="W204" i="2"/>
  <c r="U215" i="2"/>
  <c r="U212" i="2" s="1"/>
  <c r="Q230" i="2"/>
  <c r="V229" i="2"/>
  <c r="L271" i="2"/>
  <c r="L270" i="2" s="1"/>
  <c r="Q294" i="2"/>
  <c r="W304" i="2"/>
  <c r="N351" i="2"/>
  <c r="N350" i="2" s="1"/>
  <c r="I350" i="2"/>
  <c r="L347" i="2"/>
  <c r="N372" i="2"/>
  <c r="N370" i="2" s="1"/>
  <c r="I370" i="2"/>
  <c r="I426" i="2"/>
  <c r="M418" i="2"/>
  <c r="W448" i="2"/>
  <c r="Q445" i="2"/>
  <c r="I455" i="2"/>
  <c r="N455" i="2" s="1"/>
  <c r="J445" i="2"/>
  <c r="W27" i="2"/>
  <c r="W24" i="2" s="1"/>
  <c r="W17" i="2" s="1"/>
  <c r="W16" i="2" s="1"/>
  <c r="W15" i="2" s="1"/>
  <c r="N54" i="2"/>
  <c r="H122" i="2"/>
  <c r="H189" i="2"/>
  <c r="H188" i="2" s="1"/>
  <c r="H187" i="2" s="1"/>
  <c r="H186" i="2" s="1"/>
  <c r="N190" i="2"/>
  <c r="N189" i="2" s="1"/>
  <c r="Q216" i="2"/>
  <c r="S229" i="2"/>
  <c r="W229" i="2"/>
  <c r="N229" i="2"/>
  <c r="N349" i="2"/>
  <c r="N348" i="2" s="1"/>
  <c r="I348" i="2"/>
  <c r="M399" i="2"/>
  <c r="M398" i="2" s="1"/>
  <c r="M397" i="2" s="1"/>
  <c r="N537" i="2"/>
  <c r="N533" i="2" s="1"/>
  <c r="I533" i="2"/>
  <c r="I45" i="2"/>
  <c r="I65" i="2"/>
  <c r="I59" i="2" s="1"/>
  <c r="N72" i="2"/>
  <c r="N70" i="2" s="1"/>
  <c r="N75" i="2"/>
  <c r="N90" i="2"/>
  <c r="I97" i="2"/>
  <c r="I93" i="2" s="1"/>
  <c r="N127" i="2"/>
  <c r="N125" i="2" s="1"/>
  <c r="I138" i="2"/>
  <c r="W122" i="2"/>
  <c r="I150" i="2"/>
  <c r="N152" i="2"/>
  <c r="N150" i="2" s="1"/>
  <c r="Q220" i="2"/>
  <c r="Q215" i="2" s="1"/>
  <c r="Q212" i="2" s="1"/>
  <c r="N272" i="2"/>
  <c r="I285" i="2"/>
  <c r="I271" i="2" s="1"/>
  <c r="N311" i="2"/>
  <c r="I306" i="2"/>
  <c r="N319" i="2"/>
  <c r="H306" i="2"/>
  <c r="N328" i="2"/>
  <c r="O354" i="2"/>
  <c r="K354" i="2"/>
  <c r="K347" i="2" s="1"/>
  <c r="Q363" i="2"/>
  <c r="Q354" i="2" s="1"/>
  <c r="N379" i="2"/>
  <c r="N378" i="2" s="1"/>
  <c r="N374" i="2" s="1"/>
  <c r="I378" i="2"/>
  <c r="I374" i="2" s="1"/>
  <c r="I386" i="2"/>
  <c r="J385" i="2"/>
  <c r="J384" i="2" s="1"/>
  <c r="O418" i="2"/>
  <c r="O399" i="2" s="1"/>
  <c r="O398" i="2" s="1"/>
  <c r="O397" i="2" s="1"/>
  <c r="R229" i="2"/>
  <c r="H271" i="2"/>
  <c r="AA271" i="2"/>
  <c r="AA270" i="2" s="1"/>
  <c r="AA269" i="2" s="1"/>
  <c r="W272" i="2"/>
  <c r="Q283" i="2"/>
  <c r="W294" i="2"/>
  <c r="O306" i="2"/>
  <c r="O270" i="2" s="1"/>
  <c r="N357" i="2"/>
  <c r="N363" i="2"/>
  <c r="W376" i="2"/>
  <c r="W375" i="2" s="1"/>
  <c r="W374" i="2" s="1"/>
  <c r="Q375" i="2"/>
  <c r="Q374" i="2" s="1"/>
  <c r="I387" i="2"/>
  <c r="N389" i="2"/>
  <c r="N387" i="2" s="1"/>
  <c r="X470" i="2"/>
  <c r="W354" i="2"/>
  <c r="K399" i="2"/>
  <c r="K398" i="2" s="1"/>
  <c r="K397" i="2" s="1"/>
  <c r="J418" i="2"/>
  <c r="J399" i="2" s="1"/>
  <c r="J398" i="2" s="1"/>
  <c r="J397" i="2" s="1"/>
  <c r="N431" i="2"/>
  <c r="W513" i="2"/>
  <c r="W512" i="2" s="1"/>
  <c r="W511" i="2" s="1"/>
  <c r="P543" i="2"/>
  <c r="P533" i="2" s="1"/>
  <c r="P531" i="2" s="1"/>
  <c r="U374" i="2"/>
  <c r="Q400" i="2"/>
  <c r="N436" i="2"/>
  <c r="N449" i="2"/>
  <c r="N445" i="2" s="1"/>
  <c r="N418" i="2" s="1"/>
  <c r="I445" i="2"/>
  <c r="Q387" i="2"/>
  <c r="Q384" i="2" s="1"/>
  <c r="I400" i="2"/>
  <c r="N409" i="2"/>
  <c r="N407" i="2" s="1"/>
  <c r="N400" i="2" s="1"/>
  <c r="H407" i="2"/>
  <c r="H400" i="2" s="1"/>
  <c r="N470" i="2"/>
  <c r="N469" i="2" s="1"/>
  <c r="I469" i="2"/>
  <c r="I468" i="2" s="1"/>
  <c r="AA488" i="2"/>
  <c r="N493" i="2"/>
  <c r="N491" i="2" s="1"/>
  <c r="I491" i="2"/>
  <c r="N497" i="2"/>
  <c r="N506" i="2"/>
  <c r="N503" i="2" s="1"/>
  <c r="I503" i="2"/>
  <c r="Q475" i="2"/>
  <c r="Q468" i="2" s="1"/>
  <c r="N481" i="2"/>
  <c r="N475" i="2" s="1"/>
  <c r="I475" i="2"/>
  <c r="R488" i="2"/>
  <c r="V488" i="2"/>
  <c r="H533" i="2"/>
  <c r="Q551" i="2"/>
  <c r="Q543" i="2" s="1"/>
  <c r="R543" i="2"/>
  <c r="R533" i="2" s="1"/>
  <c r="R531" i="2" s="1"/>
  <c r="Q421" i="2"/>
  <c r="I459" i="2"/>
  <c r="N460" i="2"/>
  <c r="N459" i="2" s="1"/>
  <c r="Q459" i="2"/>
  <c r="J488" i="2"/>
  <c r="Q503" i="2"/>
  <c r="Q501" i="2" s="1"/>
  <c r="Q488" i="2" s="1"/>
  <c r="Q534" i="2"/>
  <c r="Q533" i="2" s="1"/>
  <c r="Q531" i="2" s="1"/>
  <c r="N560" i="2"/>
  <c r="N559" i="2" s="1"/>
  <c r="N558" i="2" s="1"/>
  <c r="N557" i="2" s="1"/>
  <c r="N556" i="2" s="1"/>
  <c r="J10" i="2" l="1"/>
  <c r="W551" i="2"/>
  <c r="W533" i="2" s="1"/>
  <c r="W531" i="2" s="1"/>
  <c r="U396" i="2"/>
  <c r="O347" i="2"/>
  <c r="O269" i="2" s="1"/>
  <c r="L269" i="2"/>
  <c r="U269" i="2"/>
  <c r="AB270" i="2"/>
  <c r="AB269" i="2" s="1"/>
  <c r="H270" i="2"/>
  <c r="H269" i="2" s="1"/>
  <c r="N306" i="2"/>
  <c r="K269" i="2"/>
  <c r="I270" i="2"/>
  <c r="N271" i="2"/>
  <c r="W271" i="2"/>
  <c r="W270" i="2" s="1"/>
  <c r="Q271" i="2"/>
  <c r="Q270" i="2" s="1"/>
  <c r="S269" i="2"/>
  <c r="S10" i="2"/>
  <c r="W121" i="2"/>
  <c r="W10" i="2" s="1"/>
  <c r="Q121" i="2"/>
  <c r="Q10" i="2" s="1"/>
  <c r="P10" i="2"/>
  <c r="T10" i="2"/>
  <c r="T565" i="2" s="1"/>
  <c r="I122" i="2"/>
  <c r="AA10" i="2"/>
  <c r="U10" i="2"/>
  <c r="K10" i="2"/>
  <c r="R10" i="2"/>
  <c r="L10" i="2"/>
  <c r="Q347" i="2"/>
  <c r="W347" i="2"/>
  <c r="W269" i="2" s="1"/>
  <c r="W418" i="2"/>
  <c r="W488" i="2"/>
  <c r="S396" i="2"/>
  <c r="T396" i="2"/>
  <c r="P396" i="2"/>
  <c r="AA399" i="2"/>
  <c r="AA398" i="2" s="1"/>
  <c r="AA397" i="2" s="1"/>
  <c r="AA396" i="2" s="1"/>
  <c r="V396" i="2"/>
  <c r="V565" i="2" s="1"/>
  <c r="R396" i="2"/>
  <c r="L396" i="2"/>
  <c r="L390" i="2" s="1"/>
  <c r="H399" i="2"/>
  <c r="H398" i="2" s="1"/>
  <c r="H397" i="2" s="1"/>
  <c r="H396" i="2" s="1"/>
  <c r="H390" i="2" s="1"/>
  <c r="Q418" i="2"/>
  <c r="AB399" i="2"/>
  <c r="AB398" i="2" s="1"/>
  <c r="AB397" i="2" s="1"/>
  <c r="AB396" i="2" s="1"/>
  <c r="O52" i="2"/>
  <c r="O51" i="2" s="1"/>
  <c r="O50" i="2" s="1"/>
  <c r="O10" i="2" s="1"/>
  <c r="AB17" i="2"/>
  <c r="AB16" i="2" s="1"/>
  <c r="AB15" i="2" s="1"/>
  <c r="I42" i="2"/>
  <c r="N17" i="2"/>
  <c r="N16" i="2" s="1"/>
  <c r="N15" i="2" s="1"/>
  <c r="I17" i="2"/>
  <c r="I16" i="2" s="1"/>
  <c r="I15" i="2" s="1"/>
  <c r="AB10" i="2"/>
  <c r="N488" i="2"/>
  <c r="N123" i="2"/>
  <c r="N122" i="2"/>
  <c r="N531" i="2"/>
  <c r="N532" i="2"/>
  <c r="J396" i="2"/>
  <c r="J390" i="2" s="1"/>
  <c r="J391" i="2"/>
  <c r="N59" i="2"/>
  <c r="H531" i="2"/>
  <c r="H532" i="2"/>
  <c r="O391" i="2"/>
  <c r="O396" i="2"/>
  <c r="O390" i="2" s="1"/>
  <c r="M396" i="2"/>
  <c r="M390" i="2" s="1"/>
  <c r="M391" i="2"/>
  <c r="N53" i="2"/>
  <c r="K391" i="2"/>
  <c r="K396" i="2"/>
  <c r="K390" i="2" s="1"/>
  <c r="W468" i="2"/>
  <c r="N354" i="2"/>
  <c r="N347" i="2" s="1"/>
  <c r="N386" i="2"/>
  <c r="N385" i="2" s="1"/>
  <c r="N384" i="2" s="1"/>
  <c r="I385" i="2"/>
  <c r="I384" i="2" s="1"/>
  <c r="N57" i="2"/>
  <c r="N55" i="2" s="1"/>
  <c r="I55" i="2"/>
  <c r="I53" i="2" s="1"/>
  <c r="I52" i="2" s="1"/>
  <c r="I51" i="2" s="1"/>
  <c r="I50" i="2" s="1"/>
  <c r="I10" i="2" s="1"/>
  <c r="I418" i="2"/>
  <c r="I399" i="2" s="1"/>
  <c r="I398" i="2" s="1"/>
  <c r="I397" i="2" s="1"/>
  <c r="N468" i="2"/>
  <c r="N399" i="2" s="1"/>
  <c r="N398" i="2" s="1"/>
  <c r="N397" i="2" s="1"/>
  <c r="H121" i="2"/>
  <c r="H112" i="2" s="1"/>
  <c r="Q229" i="2"/>
  <c r="N496" i="2"/>
  <c r="N494" i="2" s="1"/>
  <c r="I494" i="2"/>
  <c r="I488" i="2" s="1"/>
  <c r="I532" i="2"/>
  <c r="I531" i="2"/>
  <c r="Q399" i="2"/>
  <c r="Q398" i="2" s="1"/>
  <c r="Q397" i="2" s="1"/>
  <c r="Q396" i="2" s="1"/>
  <c r="I347" i="2"/>
  <c r="I269" i="2" s="1"/>
  <c r="N188" i="2"/>
  <c r="N187" i="2" s="1"/>
  <c r="N186" i="2" s="1"/>
  <c r="Q269" i="2" l="1"/>
  <c r="Q565" i="2" s="1"/>
  <c r="U565" i="2"/>
  <c r="S565" i="2"/>
  <c r="N270" i="2"/>
  <c r="Y121" i="2"/>
  <c r="X121" i="2"/>
  <c r="P565" i="2"/>
  <c r="AA565" i="2"/>
  <c r="R565" i="2"/>
  <c r="N52" i="2"/>
  <c r="N51" i="2" s="1"/>
  <c r="N50" i="2" s="1"/>
  <c r="N10" i="2" s="1"/>
  <c r="L565" i="2"/>
  <c r="AB565" i="2"/>
  <c r="H391" i="2"/>
  <c r="J565" i="2"/>
  <c r="M565" i="2"/>
  <c r="W399" i="2"/>
  <c r="W398" i="2" s="1"/>
  <c r="W397" i="2" s="1"/>
  <c r="W396" i="2" s="1"/>
  <c r="W565" i="2" s="1"/>
  <c r="I396" i="2"/>
  <c r="I390" i="2" s="1"/>
  <c r="I391" i="2"/>
  <c r="N269" i="2"/>
  <c r="N396" i="2"/>
  <c r="N390" i="2" s="1"/>
  <c r="N391" i="2"/>
  <c r="O565" i="2"/>
  <c r="K565" i="2"/>
  <c r="H10" i="2"/>
  <c r="H565" i="2" s="1"/>
  <c r="Y565" i="2" l="1"/>
  <c r="N565" i="2"/>
  <c r="I565" i="2"/>
</calcChain>
</file>

<file path=xl/sharedStrings.xml><?xml version="1.0" encoding="utf-8"?>
<sst xmlns="http://schemas.openxmlformats.org/spreadsheetml/2006/main" count="2409" uniqueCount="553">
  <si>
    <t>(рублей)</t>
  </si>
  <si>
    <t>Наименование разделов, подразделов</t>
  </si>
  <si>
    <t>Вед</t>
  </si>
  <si>
    <t>КФСР</t>
  </si>
  <si>
    <t>КЦСР</t>
  </si>
  <si>
    <t>КВР</t>
  </si>
  <si>
    <t>КЭС</t>
  </si>
  <si>
    <t>Доп. ЭК</t>
  </si>
  <si>
    <t>Бюджет 2016 год</t>
  </si>
  <si>
    <t>Сумма уточнения, в том числе:</t>
  </si>
  <si>
    <t>За счет передвижек</t>
  </si>
  <si>
    <t>За счет РБ</t>
  </si>
  <si>
    <t>За счет МБТ</t>
  </si>
  <si>
    <t>За счет дополнительных собственных доходов</t>
  </si>
  <si>
    <t>Бюджет 2014 год с уточнением</t>
  </si>
  <si>
    <t>Бюджет 2016 год (оптимизация на 20%)</t>
  </si>
  <si>
    <t>ОБЩЕГОСУДАРСТВЕННЫЕ ВОПРОСЫ (непрограммный метод)</t>
  </si>
  <si>
    <t>0100</t>
  </si>
  <si>
    <t>00 0 00 0000 0</t>
  </si>
  <si>
    <t>000</t>
  </si>
  <si>
    <t>Глава местной администрации (непрограммный метод)</t>
  </si>
  <si>
    <t>0102</t>
  </si>
  <si>
    <t>99 1 00 1160 0</t>
  </si>
  <si>
    <t>121</t>
  </si>
  <si>
    <t>Оплата труда и начисления на оплату труда</t>
  </si>
  <si>
    <t>210</t>
  </si>
  <si>
    <t>Заработная плата</t>
  </si>
  <si>
    <t>211</t>
  </si>
  <si>
    <t>Начисления на оплату труда</t>
  </si>
  <si>
    <t>129</t>
  </si>
  <si>
    <t>213</t>
  </si>
  <si>
    <t>Функционирование законодательных (представительных) органов государственной власти и местного самоуправления (непрограммный метод)</t>
  </si>
  <si>
    <t>0103</t>
  </si>
  <si>
    <t>Руководство и управление в сфере установленных функций</t>
  </si>
  <si>
    <t>99 1 00 1141 0</t>
  </si>
  <si>
    <t>Центральный аппарат</t>
  </si>
  <si>
    <t>Прочие выплаты</t>
  </si>
  <si>
    <t>Командировки и служебные разъезды</t>
  </si>
  <si>
    <t>1104</t>
  </si>
  <si>
    <t>Проезд в отпуск</t>
  </si>
  <si>
    <t>1101</t>
  </si>
  <si>
    <t>Приобретение услуг</t>
  </si>
  <si>
    <t>220</t>
  </si>
  <si>
    <t xml:space="preserve">Услуги связи </t>
  </si>
  <si>
    <t>242</t>
  </si>
  <si>
    <t>221</t>
  </si>
  <si>
    <t>244</t>
  </si>
  <si>
    <t>Транспортные услуги</t>
  </si>
  <si>
    <t>222</t>
  </si>
  <si>
    <t>1125</t>
  </si>
  <si>
    <t>Услуги по содержанию имущества</t>
  </si>
  <si>
    <t>225</t>
  </si>
  <si>
    <t>Оплата содержания помещений</t>
  </si>
  <si>
    <t>1111</t>
  </si>
  <si>
    <t>Оплата текущего ремонта оборудования и инвентаря</t>
  </si>
  <si>
    <t xml:space="preserve">Оплата текущего ремонта зданий и сооружений </t>
  </si>
  <si>
    <t>1105</t>
  </si>
  <si>
    <t>Прочие услуги</t>
  </si>
  <si>
    <t>226</t>
  </si>
  <si>
    <t>Прочие работы, услуги (информационное обслуживание)</t>
  </si>
  <si>
    <t>1136</t>
  </si>
  <si>
    <t>Подписка на периодические и справочные издания</t>
  </si>
  <si>
    <t>1137</t>
  </si>
  <si>
    <t xml:space="preserve">Прочие текущие расходы </t>
  </si>
  <si>
    <t>1140</t>
  </si>
  <si>
    <t>Прочие расходы</t>
  </si>
  <si>
    <t>290</t>
  </si>
  <si>
    <t>Представительские расходы, прием и обслуживание делегаций</t>
  </si>
  <si>
    <t>1149</t>
  </si>
  <si>
    <t>1150</t>
  </si>
  <si>
    <t>Поступление нефинансовых активов</t>
  </si>
  <si>
    <t>300</t>
  </si>
  <si>
    <t>Увеличение стоимости основных средств</t>
  </si>
  <si>
    <t>310</t>
  </si>
  <si>
    <t xml:space="preserve">Приобретение оборудования и предметов длительного пользования (в части предметов со сроком полезного использования более 12 месяцев) </t>
  </si>
  <si>
    <t>1116</t>
  </si>
  <si>
    <t>Увеличение стоимости материальных запасов</t>
  </si>
  <si>
    <t>340</t>
  </si>
  <si>
    <t xml:space="preserve">Продукты питания </t>
  </si>
  <si>
    <t>1120</t>
  </si>
  <si>
    <t xml:space="preserve">Прочие расходные материалы и предметы снабжения (в части расходных материалов) </t>
  </si>
  <si>
    <t>1123</t>
  </si>
  <si>
    <t>Функционирование местных администраций (непрограммный метод)</t>
  </si>
  <si>
    <t>0104</t>
  </si>
  <si>
    <t>122</t>
  </si>
  <si>
    <t>212</t>
  </si>
  <si>
    <t>Услуги связи</t>
  </si>
  <si>
    <t>Коммунальные услуги</t>
  </si>
  <si>
    <t>223</t>
  </si>
  <si>
    <t>Оплата отопления</t>
  </si>
  <si>
    <t>11072</t>
  </si>
  <si>
    <t xml:space="preserve">Оплата потребления электрической энергии </t>
  </si>
  <si>
    <t xml:space="preserve"> 1109</t>
  </si>
  <si>
    <t>Оплата услуг горячего и холодного водоснабжения</t>
  </si>
  <si>
    <t xml:space="preserve"> 1110</t>
  </si>
  <si>
    <t>Оплата услуг канализации, водоотведения</t>
  </si>
  <si>
    <t>1126</t>
  </si>
  <si>
    <t>Текущий и капитальный ремонт</t>
  </si>
  <si>
    <t>Противопожарные мероприятия</t>
  </si>
  <si>
    <t>1106</t>
  </si>
  <si>
    <t>Другие расходы по содержанию имущества (тех.обсл.ПК)</t>
  </si>
  <si>
    <t>1129</t>
  </si>
  <si>
    <t>Командировки и служебные разъезды (оплата проживания на время нахождения в служебной командировке)</t>
  </si>
  <si>
    <t>Монтажные работы</t>
  </si>
  <si>
    <t>1133</t>
  </si>
  <si>
    <t>Услуги по страхованию</t>
  </si>
  <si>
    <t>1135</t>
  </si>
  <si>
    <t>Услуги в области информационных технологий</t>
  </si>
  <si>
    <t>Плата за обучение на курсах повышения квалификации</t>
  </si>
  <si>
    <t>1139</t>
  </si>
  <si>
    <t>Объявление в СМИ</t>
  </si>
  <si>
    <t>Социальное обеспечение</t>
  </si>
  <si>
    <t>65 5 00 7029 0</t>
  </si>
  <si>
    <t>321</t>
  </si>
  <si>
    <t>260</t>
  </si>
  <si>
    <t>Пенсии, пособия выплачиваемые организациями сектора гос.управления</t>
  </si>
  <si>
    <t>263</t>
  </si>
  <si>
    <t>Уплата налогов и сборов (налог на имущество)</t>
  </si>
  <si>
    <t>851</t>
  </si>
  <si>
    <t>1143</t>
  </si>
  <si>
    <t>Уплата налогов и сборов (транспортный налог)</t>
  </si>
  <si>
    <t>852</t>
  </si>
  <si>
    <t>1144</t>
  </si>
  <si>
    <t>Уплата штрафов, пеней и несвоевременную уплату налогов</t>
  </si>
  <si>
    <t>853</t>
  </si>
  <si>
    <t>Приобретение оборудования и предметов длительного пользования (в части предметов со сроком полезного использования более 12 месяцев)</t>
  </si>
  <si>
    <t xml:space="preserve">Оплата горюче-смазочных материалов </t>
  </si>
  <si>
    <t>1121</t>
  </si>
  <si>
    <t xml:space="preserve">Прочие расходные материалы и предметы снабжения </t>
  </si>
  <si>
    <t>Обеспечение проведения выборов и референдумов</t>
  </si>
  <si>
    <t>0107</t>
  </si>
  <si>
    <t>804</t>
  </si>
  <si>
    <t xml:space="preserve">Транспортные услуги (за исключением расходов на обязательное страхование гражд.ответ.влад.трансп.средств) </t>
  </si>
  <si>
    <t>Приобретение продуктов питания (представительские расходы)</t>
  </si>
  <si>
    <t>Приобретение ГСМ</t>
  </si>
  <si>
    <t>99 3 00 1003 0</t>
  </si>
  <si>
    <t>Содержание муниципального имущества</t>
  </si>
  <si>
    <t>0113</t>
  </si>
  <si>
    <t>99 5 00 9100 2</t>
  </si>
  <si>
    <t>1109</t>
  </si>
  <si>
    <t>1110</t>
  </si>
  <si>
    <t>243</t>
  </si>
  <si>
    <t>Работы, услуги по содержанию имущества (опл.по дог.ГПХ за уборку здания администрации)</t>
  </si>
  <si>
    <t>Работы, услуги по содержанию имущества (вывоз мусора)</t>
  </si>
  <si>
    <t xml:space="preserve">Другие расходы по содержанию имущества </t>
  </si>
  <si>
    <t>Другие расходы по содержанию имущества (тех.осмотр автомобиля, ремонт оборудования)</t>
  </si>
  <si>
    <t>Прочие работы, услуги (опл.по дог.ГПХ за охрану здания Админисрации)</t>
  </si>
  <si>
    <t>1134</t>
  </si>
  <si>
    <t>Иные работы и услуги</t>
  </si>
  <si>
    <t>Иные работы и услуги (оценка имущества)</t>
  </si>
  <si>
    <t>Приобретение оборудования и предметов длительного пользования</t>
  </si>
  <si>
    <t>Прочие расходные материалы и предметы снабжения (хозтовары)</t>
  </si>
  <si>
    <t>Непрограммные расходы</t>
  </si>
  <si>
    <t>Иные работы и услуги (нотариальные действия)</t>
  </si>
  <si>
    <t>Иные работы и услуги (доплата за ЗАГС)</t>
  </si>
  <si>
    <t xml:space="preserve">Прочие расходы </t>
  </si>
  <si>
    <t>Прочие расходы (представительские расходы)</t>
  </si>
  <si>
    <t>99 5 00 9101 7</t>
  </si>
  <si>
    <t>99 5 00 7110 0</t>
  </si>
  <si>
    <t>- резервные фонды органов местного самоуправления</t>
  </si>
  <si>
    <t>Резервные фонды органов местного самоуправления</t>
  </si>
  <si>
    <t>360</t>
  </si>
  <si>
    <t>Уплата госпошлины</t>
  </si>
  <si>
    <t>831</t>
  </si>
  <si>
    <t>1145</t>
  </si>
  <si>
    <t>Прочие расходы (представительские расходы:приобретение ценных подарков и цветов)</t>
  </si>
  <si>
    <t>1148</t>
  </si>
  <si>
    <t>Национальная оборона</t>
  </si>
  <si>
    <t>0200</t>
  </si>
  <si>
    <t>Фонд компенсаций</t>
  </si>
  <si>
    <t>0203</t>
  </si>
  <si>
    <t>99 5 00 5118 0</t>
  </si>
  <si>
    <t>ВУС</t>
  </si>
  <si>
    <t>365</t>
  </si>
  <si>
    <t xml:space="preserve">Командировки и служебные разъезды (суточные) </t>
  </si>
  <si>
    <t>Оплата  льгот по коммунальным услугам</t>
  </si>
  <si>
    <t>95 3 5118</t>
  </si>
  <si>
    <t xml:space="preserve">Командировки и служебные разъезды (оплата транспортных расходов) </t>
  </si>
  <si>
    <t xml:space="preserve">Командировки и служебные разъезды (оплата проживания на время нахождения в служебной командировке) </t>
  </si>
  <si>
    <t>Прочие расходные материалы и предметы снабжения (в части предметов со сроком полезного использования более 12 месяцев)</t>
  </si>
  <si>
    <t>Прочие расходные материалы и предметы снабжения (в части расходных материалов)</t>
  </si>
  <si>
    <t>Национальная безопасность и правоохранительная деятельность</t>
  </si>
  <si>
    <t>0300</t>
  </si>
  <si>
    <t>Государственная регистрация актов гражданского состояния</t>
  </si>
  <si>
    <t>0304</t>
  </si>
  <si>
    <t>99 5 00 5930 0</t>
  </si>
  <si>
    <t>Иные работы, услуги</t>
  </si>
  <si>
    <t>Предупреждение и ликвидация последствий чрезвычайных ситуаций и стихийных бедствий природного и техногенного характера (непрограммные расходы)</t>
  </si>
  <si>
    <t>0309</t>
  </si>
  <si>
    <t>99 5 00 9100 3</t>
  </si>
  <si>
    <t xml:space="preserve">Иные работы и услуги </t>
  </si>
  <si>
    <t>Другие вопросы в области национальной безопасности и правоохранительной деятельности</t>
  </si>
  <si>
    <t>0314</t>
  </si>
  <si>
    <t>795 00 00</t>
  </si>
  <si>
    <t>795 00 00 500</t>
  </si>
  <si>
    <t>НАЦИОНАЛЬНАЯ ЭКОНОМИКА</t>
  </si>
  <si>
    <t>0400</t>
  </si>
  <si>
    <t>Сельское хозяйство и рыболовство</t>
  </si>
  <si>
    <t>0405</t>
  </si>
  <si>
    <t>Иные работы и услуги (отлов безнадзорных животных) из РБ</t>
  </si>
  <si>
    <t>МЦП "Социальная поддержка населения МО "Посёлок Чернышевский" на 2013-2017 годы"</t>
  </si>
  <si>
    <t>0408</t>
  </si>
  <si>
    <t>Другие виды транспорта</t>
  </si>
  <si>
    <t>Отдельные мероприятия по другим видам транспорта</t>
  </si>
  <si>
    <t>Субсидирование социально-значимых пассажирских перевозок</t>
  </si>
  <si>
    <t>240</t>
  </si>
  <si>
    <t>Безвозмездные и безвозвратные перечисления  организациям, за исключением государственных и муниципальных организаций (пассажирские перевозки)</t>
  </si>
  <si>
    <t>24 4 2139</t>
  </si>
  <si>
    <t>МП "Ремонт и содержание дорог общего пользования местного значения в муниципальном образовании "Посёлок Чернышевский Мирнинского района Республики Саха (Якутия) на 2014-2016 годы"</t>
  </si>
  <si>
    <t>0409</t>
  </si>
  <si>
    <t>88 5 00 1001 0</t>
  </si>
  <si>
    <t>Иные работы и услуги (ремонт дорог) МБ</t>
  </si>
  <si>
    <t>Иные работы и услуги (ремонт дорог) МБТ</t>
  </si>
  <si>
    <t>Содержание дорог</t>
  </si>
  <si>
    <t>Паспортизация дорог</t>
  </si>
  <si>
    <t>Установка дорожных знаков</t>
  </si>
  <si>
    <t>ЦП " Развитие предпринимательства в посёлке Чернышевский на 2012-2016 годы"</t>
  </si>
  <si>
    <t>0412</t>
  </si>
  <si>
    <t>Мероприятия в области предпринимательства</t>
  </si>
  <si>
    <t>Мероприятия по землеустройству и землепользованию</t>
  </si>
  <si>
    <t>Иные работы и услуги (оформление кадастровых паспортов)</t>
  </si>
  <si>
    <t>99 8 2478</t>
  </si>
  <si>
    <t>24</t>
  </si>
  <si>
    <t>ЖИЛИЩНО-КОММУНАЛЬНОЕ ХОЗЯЙСТВО</t>
  </si>
  <si>
    <t>0500</t>
  </si>
  <si>
    <t>Поддержка коммунального хозяйства</t>
  </si>
  <si>
    <t>0501</t>
  </si>
  <si>
    <t>69 7 00 1001 0</t>
  </si>
  <si>
    <t>Текущий и капитальный ремонт жилфонда (ремонт свайного поля МБТ)</t>
  </si>
  <si>
    <t>99 8 2518</t>
  </si>
  <si>
    <t>Текущий и капитальный ремонт жилфонда (ремонт кровли 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</si>
  <si>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2013-2015гг." (МБТ)</t>
  </si>
  <si>
    <t>99 8 2519</t>
  </si>
  <si>
    <t>99 5 00 9101 1</t>
  </si>
  <si>
    <t>69 7 00 1003 0</t>
  </si>
  <si>
    <t>Текущий и капитальный ремонт муниципального жилого фонда (МБТ)</t>
  </si>
  <si>
    <t>Региональная программа капитального ремонта общего имущества в многоквартирных домах, расположенных на территории Республики Саха (Якутия)  (взнос на капитальный ремонт, доля собственников)</t>
  </si>
  <si>
    <t>Компенсация собственникам квартир (Якутскэнерго)</t>
  </si>
  <si>
    <t>Программа по энергосбережению и повышению энергетической эффективности (Бюджет РС (Я)</t>
  </si>
  <si>
    <t>91 6 00 6242 0</t>
  </si>
  <si>
    <t>Программа по энергосбережению и повышению энергетической эффективности (Установка энергосберегающих светильников в МКД) (МБТ)</t>
  </si>
  <si>
    <t>91 6 00 S242 0</t>
  </si>
  <si>
    <t>68 4 00 S400 2</t>
  </si>
  <si>
    <t>Проведение экспертизы признания домов аварийными</t>
  </si>
  <si>
    <t>1132</t>
  </si>
  <si>
    <t>Компенсация собственникам квартир (МБТ)</t>
  </si>
  <si>
    <t>68 4 00 S400 1</t>
  </si>
  <si>
    <t>414</t>
  </si>
  <si>
    <t>1118</t>
  </si>
  <si>
    <t>Приобретение жилья у застройщика (строительство МКД)</t>
  </si>
  <si>
    <t>68 4 9503</t>
  </si>
  <si>
    <t>68 4 9603</t>
  </si>
  <si>
    <t>Приобретение жилья у застройщика (строительство МКД) Этап 2016г. Средства Фонда</t>
  </si>
  <si>
    <t>68 4 00 0950 2</t>
  </si>
  <si>
    <t>68 4 00 0960 2</t>
  </si>
  <si>
    <t>Софинансирование на реконструкцию и модернизацию электрокотельной № 12 кв-л Энтузиастов (МБТ)</t>
  </si>
  <si>
    <t>91 8 00 1002 0</t>
  </si>
  <si>
    <t>Программа по энергосбережению и повышению энергетической эффективности (Бюджет РС(Я)</t>
  </si>
  <si>
    <t>1151</t>
  </si>
  <si>
    <t>Благоустройство территории поселка</t>
  </si>
  <si>
    <t>0503</t>
  </si>
  <si>
    <t>Иные работы и услуги (благоустройство)</t>
  </si>
  <si>
    <t>Приобретение материалов</t>
  </si>
  <si>
    <t>1112</t>
  </si>
  <si>
    <t>Иные работы и услуги (озеленение)</t>
  </si>
  <si>
    <t>99 8 2531</t>
  </si>
  <si>
    <t>85 9 6336</t>
  </si>
  <si>
    <t>69 8 00 6210 С</t>
  </si>
  <si>
    <t>Снос строений (МБТ)</t>
  </si>
  <si>
    <t>Устройство уличного освещения (МБТ)</t>
  </si>
  <si>
    <t>69 8 00 1000 1</t>
  </si>
  <si>
    <t>Иные работы и услуги (содержание и обслуживание уличного освещения)</t>
  </si>
  <si>
    <t>Услуги по содержанию имущесства (Содержание и обслуживание мест захоронения)</t>
  </si>
  <si>
    <t xml:space="preserve">69 8 00 S210 C </t>
  </si>
  <si>
    <t>МЦП "Социальная поддержка населения МО "Посёлок Чернышевский" на 2013-2017 годы" захоронение безродных</t>
  </si>
  <si>
    <t>ВЦП "Утилизация и переработка отходов производства и потребления на территории МО Мирнинский район" (МБТ)</t>
  </si>
  <si>
    <t>69 8 00 1000 6</t>
  </si>
  <si>
    <t>МЦП "Чернышевский, доброжелательный к детям на 2013-2016 гг"</t>
  </si>
  <si>
    <t>65 5 00 7050 0</t>
  </si>
  <si>
    <t>МУ "УЖКХ"</t>
  </si>
  <si>
    <t>0505</t>
  </si>
  <si>
    <t>99 5 009100 9</t>
  </si>
  <si>
    <t>111</t>
  </si>
  <si>
    <t>112</t>
  </si>
  <si>
    <t>Прочие трансферты населению (проезд в отпуск)</t>
  </si>
  <si>
    <t>119</t>
  </si>
  <si>
    <t>Командировки и служебные разъезды (оплата транспортных расходов)</t>
  </si>
  <si>
    <t xml:space="preserve">          </t>
  </si>
  <si>
    <t>Другие расходы по содержанию имущества</t>
  </si>
  <si>
    <t>Иные работы и услуги (охрана труда)</t>
  </si>
  <si>
    <t>Налог на имущество</t>
  </si>
  <si>
    <t>Образование</t>
  </si>
  <si>
    <t>0700</t>
  </si>
  <si>
    <t>ЦП " Развитие молодёжной политики МО "Посёлок Чернышевский"</t>
  </si>
  <si>
    <t>0707</t>
  </si>
  <si>
    <t>Мероприятия в области молодёжной политики</t>
  </si>
  <si>
    <t>Организация труда студентов в летний период (МБТ)</t>
  </si>
  <si>
    <t>73 3 00 1102 1</t>
  </si>
  <si>
    <t>Просие расходные материалы и предметы снабжения ( в части расходных материалов)</t>
  </si>
  <si>
    <t>КУЛЬТУРА И СРЕДСТВА МАССОВОЙ ИНФОРМАЦИИ</t>
  </si>
  <si>
    <t>0800</t>
  </si>
  <si>
    <t>МЦП "Сохранение, поддержка и развитие сферы культуры МО "Посёлок Чернышевский" Мирнинского района РС (Якутия) на 2014-2017 годы"</t>
  </si>
  <si>
    <t>0801</t>
  </si>
  <si>
    <t>Дворцы и дома культуры, другие учреждения культуры</t>
  </si>
  <si>
    <t>Обеспечение деятельности подведомственных учреждений</t>
  </si>
  <si>
    <t>74 2 00 2200 1</t>
  </si>
  <si>
    <t>Командировки и служебные разъезды (суточные)</t>
  </si>
  <si>
    <t xml:space="preserve">Оплата отопления и технологических нужд </t>
  </si>
  <si>
    <t>Оплата потребления электрической энергии</t>
  </si>
  <si>
    <t>Коммунальные услуги (возмещение расходов по ЦДОД, ДШИ)</t>
  </si>
  <si>
    <t>Содержание в чистоте помещений, зданий, дворов</t>
  </si>
  <si>
    <t>Ремонт и обслуживание ПК</t>
  </si>
  <si>
    <t>Командирововчные расходы (проживание)</t>
  </si>
  <si>
    <t>Установка, наладка, монтаж охранной, пожарной сигнализации, локально-вычислительных сетей, систем видеонаблюдния, контроля доступа и другие монтажные работы</t>
  </si>
  <si>
    <t>Услуги вневедомственной и ведомственной охраны</t>
  </si>
  <si>
    <t>Программно-информационное обеспечение</t>
  </si>
  <si>
    <t>Оплата услуг по проведению мероприятий</t>
  </si>
  <si>
    <t>1138</t>
  </si>
  <si>
    <t>Курсы повышения квалификации</t>
  </si>
  <si>
    <t>Налог за негативное воздействие на окружающую среду</t>
  </si>
  <si>
    <t>Оплата за негативное воздействие на окружающую среду</t>
  </si>
  <si>
    <t>Оплата пеней, штрафов</t>
  </si>
  <si>
    <t>Приобретение призовой и наградной продукции</t>
  </si>
  <si>
    <t xml:space="preserve">Прочие расходные материалы и предметы снабжения (в части предметов со сроком полезного использования более 12 месяцев) </t>
  </si>
  <si>
    <t>Приобретение мягкого инвентаря</t>
  </si>
  <si>
    <t>1117</t>
  </si>
  <si>
    <t>Городские мероприятия МЦП "Сохранение, поддержка и развитие сферы культуры МО "Посёлок Чернышевский" Мирнинского района РС (Якутия) на 2014-2017 годы"</t>
  </si>
  <si>
    <t>Прочие услуги (оплата услуг артистов)</t>
  </si>
  <si>
    <t xml:space="preserve">Прочие расходные материалы и предметы снабжения  </t>
  </si>
  <si>
    <t>СПОРТ И ФИЗИЧЕСКАЯ КУЛЬТУРА</t>
  </si>
  <si>
    <t>1100</t>
  </si>
  <si>
    <t>Физкультурно-оздоровительная работа и спортивные мероприятия</t>
  </si>
  <si>
    <t>Безвозмездные перечисления организациям</t>
  </si>
  <si>
    <t>Безвозмездные перечисления государственным и муниципальным организациям (субсидии на выполнение муниципального задания организация предоставления общедоступного и бесплатного посещения спортивных объектов)</t>
  </si>
  <si>
    <t>611</t>
  </si>
  <si>
    <t>241</t>
  </si>
  <si>
    <t>17000</t>
  </si>
  <si>
    <t>Безвозмездные перечисления государственным и муниципальным организациям (субсидии на выполнение муниципального задания организация и проведение СММ)</t>
  </si>
  <si>
    <t>98 2 00 1008 0</t>
  </si>
  <si>
    <t>Безвозмездные перечисления государственным и муниципальным организациям (ГТО)</t>
  </si>
  <si>
    <t>Безвозмездные перечисления государственным и муниципальным организациям (СММ)</t>
  </si>
  <si>
    <t>Безвозмездные перечисления государственным и муниципальным организациям (субсидии на выполнение муниципального задания проезд в отпуск)</t>
  </si>
  <si>
    <t>612</t>
  </si>
  <si>
    <t>0095</t>
  </si>
  <si>
    <t>99 5 00 9101 4</t>
  </si>
  <si>
    <t>0092</t>
  </si>
  <si>
    <t>Реконструкция ФОК "Каскад"</t>
  </si>
  <si>
    <t>99 8 4036</t>
  </si>
  <si>
    <t>Приобретение спортинвентаря</t>
  </si>
  <si>
    <t>99 8 2543</t>
  </si>
  <si>
    <t>0067</t>
  </si>
  <si>
    <t>Социальная политика</t>
  </si>
  <si>
    <t>1000</t>
  </si>
  <si>
    <t>Муниципальные доплаты к пенсии</t>
  </si>
  <si>
    <t>1001</t>
  </si>
  <si>
    <t>312</t>
  </si>
  <si>
    <t>Социальное обеспечение населения</t>
  </si>
  <si>
    <t>1003</t>
  </si>
  <si>
    <t>МЦП "Социальная поддержка населения" МО "Посёлок Чернышевский" на 2013-2017 годы"</t>
  </si>
  <si>
    <t>0000</t>
  </si>
  <si>
    <t>Транспортные расходы</t>
  </si>
  <si>
    <t>Пособия по социальной помощи населению</t>
  </si>
  <si>
    <t>262</t>
  </si>
  <si>
    <t>1141</t>
  </si>
  <si>
    <t>Прочие расходы (сувенирная и наградная продукция)</t>
  </si>
  <si>
    <t>МЦП "Чернышевский, доброжелательный к детям на 2013-2017 годы"</t>
  </si>
  <si>
    <t>99 5 00 9101 2</t>
  </si>
  <si>
    <t>Межбюджетные трансферты</t>
  </si>
  <si>
    <t>Уплата процентов за использование бюджетного кредита в доход бюджета МО "Мирнинский район"</t>
  </si>
  <si>
    <t>1301</t>
  </si>
  <si>
    <t>99 5 00 9101 5</t>
  </si>
  <si>
    <t>730</t>
  </si>
  <si>
    <t>231</t>
  </si>
  <si>
    <t>Безвозмездные и безвозвратные перечисления бюджетам</t>
  </si>
  <si>
    <t>1403</t>
  </si>
  <si>
    <t>99 6  00 8851 0</t>
  </si>
  <si>
    <t>540</t>
  </si>
  <si>
    <t>250</t>
  </si>
  <si>
    <t>Перечисления другим бюджетам бюджетной системы РФ</t>
  </si>
  <si>
    <t>251</t>
  </si>
  <si>
    <t>Субвенции на осуществление части полномочий по решению вопросов местного значения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</si>
  <si>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Содержание специалиста по архитектуре</t>
  </si>
  <si>
    <t>Содержание специалиста по архивному делу</t>
  </si>
  <si>
    <t>КСП</t>
  </si>
  <si>
    <t>Финорган</t>
  </si>
  <si>
    <t>Итого расходов</t>
  </si>
  <si>
    <t>Презд в отпуск</t>
  </si>
  <si>
    <t>Софинансирование расходных обязательств по реализации мероприятий комплексного развития МО (установка опор уличного освещения)</t>
  </si>
  <si>
    <t>Софинансирование расходных обязательств по реализации мероприятий комплексного развития МО (установка детских площадок)</t>
  </si>
  <si>
    <t>ПИР "Ремонт системы отопления в здании Администрации с установкой узла учёта" (МБТ)</t>
  </si>
  <si>
    <t>Покраска фасадов 3-х деревянных МКД (МБТ)</t>
  </si>
  <si>
    <t>ВЦП "Переселение граждан из ветхого и аварийного жилья"</t>
  </si>
  <si>
    <t>к решению сессии ЧПСД</t>
  </si>
  <si>
    <t>Приобретение жилья у застройщика (строительство МКД) этап 2014 г. средства Фонда</t>
  </si>
  <si>
    <t>Прочие компенсации</t>
  </si>
  <si>
    <t>1124</t>
  </si>
  <si>
    <t>812</t>
  </si>
  <si>
    <t>Иные работы и услуги (технологическое присоединение электросетей к строящемуся МКД) МБТ</t>
  </si>
  <si>
    <t>Иные работы и услуги (планирование и межевание территории) МБТ</t>
  </si>
  <si>
    <t>Проведение экспертизы объекта незавершенного строительства (МБТ)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</si>
  <si>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2013-2017гг." (МБТ).Этап 2015г.</t>
  </si>
  <si>
    <t>811</t>
  </si>
  <si>
    <t>68 4 00 1001 0</t>
  </si>
  <si>
    <t>ВЦП "Переселение граждан из ветхого и аварийного жилья", приобретение квартир (МБТ)</t>
  </si>
  <si>
    <t>ВЦП "Переселение граждан из ветхого и аварийного жилья", выплата компенсации за жилые помещения (МБТ)</t>
  </si>
  <si>
    <t>Текущий ремонт лестничного марша, помещений и кабинетов МБТ</t>
  </si>
  <si>
    <t>Проведение экспертизы МКД и ПДУ в целях признания жилых домов аварийными, подлежащими сносу (МБТ)</t>
  </si>
  <si>
    <t>Охрана окружающей среды</t>
  </si>
  <si>
    <t>0605</t>
  </si>
  <si>
    <t>Иные работы и услуги (ремонт дорог) РБ</t>
  </si>
  <si>
    <t>1142</t>
  </si>
  <si>
    <t>88 5 00 6213 С</t>
  </si>
  <si>
    <t>Уплата налога за негативное воздействие на окружающую среду, налог на имущество</t>
  </si>
  <si>
    <t>Прочие услуги (разработка проектов Программ транспортной инфраструктуры) МБТ</t>
  </si>
  <si>
    <t>Иные работы и услуги (минерализованная полоса) МБТ</t>
  </si>
  <si>
    <t>Иные работы (нотариальные действия)</t>
  </si>
  <si>
    <t>Содержание дорог (ПКР)</t>
  </si>
  <si>
    <t>Софинансирование расходных обязательств по реализации мероприятий комплексного развития МО (озеленение площадей)</t>
  </si>
  <si>
    <t>Услуги по содержанию имущества (содержание и обслуживание уличного освещения) софинансирование</t>
  </si>
  <si>
    <t>95 2 00 6502 0</t>
  </si>
  <si>
    <t>Ремонт муниципальных квартир для последующего расселения жителей, снос жилого дома кв-л Энтузиастов, д.19</t>
  </si>
  <si>
    <t>Ремонт муниципальных квартир для последующего расселения жителей, снос жилого дома кв-л Энтузиастов, д.20</t>
  </si>
  <si>
    <t>Прочие расходы (мероприятия АМО)</t>
  </si>
  <si>
    <t>Иные виды социальной помощи (непрограммные расходы)</t>
  </si>
  <si>
    <t>Установка детского комплекса на территории КОЦ (МБТ)</t>
  </si>
  <si>
    <t xml:space="preserve">Прочие расходные материалы и предметы снабжения (продукты питания) </t>
  </si>
  <si>
    <t>Прочие расходные материалы и предметы снабжения (стройматериалы)</t>
  </si>
  <si>
    <t>412</t>
  </si>
  <si>
    <t>99 5 00 9101 3</t>
  </si>
  <si>
    <t>КУЛЬТУРА И СРЕДСТВА МАССОВОЙ ИНФОРМАЦИИ (Администрация)</t>
  </si>
  <si>
    <t>323</t>
  </si>
  <si>
    <t>Ремонт  здания Администрации  (МБТ)</t>
  </si>
  <si>
    <t xml:space="preserve">Иные работы и услуги (отлов безнадзорных животных) </t>
  </si>
  <si>
    <t>99 5 00 9100 5</t>
  </si>
  <si>
    <t>Уплата пени</t>
  </si>
  <si>
    <t>Оказание материальной помощи</t>
  </si>
  <si>
    <t xml:space="preserve">Приобретение продуктов питания </t>
  </si>
  <si>
    <t>Приобретение прочих материальных запасов</t>
  </si>
  <si>
    <t>Иные работы и услуги (приобретение информационных табличек) софинансирование ПКР</t>
  </si>
  <si>
    <t>Иные работы и услуги (установка информационных табличек) софинансирование ПКР</t>
  </si>
  <si>
    <t>Заработная плата (РБ)</t>
  </si>
  <si>
    <t>99 6 00 6245 0</t>
  </si>
  <si>
    <t>Начисления на оплату труда (РБ)</t>
  </si>
  <si>
    <t>99 6 00 6336 0</t>
  </si>
  <si>
    <t>18 6 00 1003 0</t>
  </si>
  <si>
    <t>18 5 00 1001 0</t>
  </si>
  <si>
    <t>Изготовление технических планов и проведение кадастровых работ (паспортизация) автомобильных дорог (МБТ)</t>
  </si>
  <si>
    <t>99 5 00 9100 8</t>
  </si>
  <si>
    <t>Ремонт и содержание дорог</t>
  </si>
  <si>
    <t>26 3 00 1001 0</t>
  </si>
  <si>
    <t>20 4 00 1001 0</t>
  </si>
  <si>
    <t>20 3 00 S400 3</t>
  </si>
  <si>
    <t>23 2 00 1003 0</t>
  </si>
  <si>
    <t>23 2 00 1001 0</t>
  </si>
  <si>
    <t>Снос 2 деревянных двухэтажных многоквартирных домов квартала Аэропорта (МБТ)</t>
  </si>
  <si>
    <t>Снос аварийного нежилого дома (бывшее здание полиции) МБТ</t>
  </si>
  <si>
    <t>Ремонт ливневых стоков вдоль ул. Гидростроителей (МБТ)</t>
  </si>
  <si>
    <t>29 3 00 1001 0</t>
  </si>
  <si>
    <t>11 2 00 1102 0</t>
  </si>
  <si>
    <t>10 1 00 2200 1</t>
  </si>
  <si>
    <t>10 7 00 1000 1</t>
  </si>
  <si>
    <t>10 2 00 1000 2</t>
  </si>
  <si>
    <t>14 1 00 2200 1</t>
  </si>
  <si>
    <t>14 2 00 1002 0</t>
  </si>
  <si>
    <t>14 2 00 1001 0</t>
  </si>
  <si>
    <t>99 5 00 7102 0</t>
  </si>
  <si>
    <t>15 3 00 1001 0</t>
  </si>
  <si>
    <t>15 3 00 7102 0</t>
  </si>
  <si>
    <t>99 5 00 1101 0</t>
  </si>
  <si>
    <t>Прочие услуги (разработка проектов Программы комплексного развития социальной инфраструктуры) МБТ</t>
  </si>
  <si>
    <t>Ремонт  здания Администрации (установка оконных блоков) (МБТ)</t>
  </si>
  <si>
    <t>МЦП "Поддержка общественных и гражданских инициатив Мирнинского района на 2017-2019 годы " (Приобретение детского комплекса) (МБТ)</t>
  </si>
  <si>
    <t>99 5 00 9100 7</t>
  </si>
  <si>
    <t>Охрана окружающей среды, утилизация и переработка отходов производства и потребления на территории МО "Мирнинский район" на период 2013-2019 годы"</t>
  </si>
  <si>
    <t>15 5 00 1001 0</t>
  </si>
  <si>
    <t>1119</t>
  </si>
  <si>
    <t>Переселение граждан из аварийного жилищного фонда (снос строений) МБТ</t>
  </si>
  <si>
    <t>23 2 00 1009 0</t>
  </si>
  <si>
    <t>224</t>
  </si>
  <si>
    <t>Иные расходы</t>
  </si>
  <si>
    <t>Приобретение основных средств</t>
  </si>
  <si>
    <t>Приобретение медикаментов и перевязочных средств</t>
  </si>
  <si>
    <t>Приобретение продуктов питания</t>
  </si>
  <si>
    <t xml:space="preserve"> Использование линий электропередач</t>
  </si>
  <si>
    <t>Выполнение работ по зимнему содержанию тротуаров и площадей</t>
  </si>
  <si>
    <t>Снос 2-х деревянных домов кв-л Энтузиастов № 12, 30</t>
  </si>
  <si>
    <t>18-365</t>
  </si>
  <si>
    <t>18-365/1101</t>
  </si>
  <si>
    <t>18-365/1116</t>
  </si>
  <si>
    <t>18-365/1123</t>
  </si>
  <si>
    <t>18-783</t>
  </si>
  <si>
    <t>Реконструкция и модернизация электрокотельной № 12 кв-л Энтузиастов (МБТ)</t>
  </si>
  <si>
    <t>Выполнение работ по расчистке лестниц и переходов</t>
  </si>
  <si>
    <t xml:space="preserve">Иные работы и услуги (содержание кладбища) </t>
  </si>
  <si>
    <t>Приобретение деревянной горки</t>
  </si>
  <si>
    <t>Формирование современной городской среды (МБТ)</t>
  </si>
  <si>
    <t>296</t>
  </si>
  <si>
    <t>291</t>
  </si>
  <si>
    <t>292</t>
  </si>
  <si>
    <t>295</t>
  </si>
  <si>
    <t>293</t>
  </si>
  <si>
    <t>1147</t>
  </si>
  <si>
    <t>Расходы на исполнение судебных решений о взыскании из бюджета по искам юридических и физических лиц (основной долг)</t>
  </si>
  <si>
    <t>Расходы на исполнение судебных решений о взыскании из бюджета по искам юридических и физических лиц (госпошлина)</t>
  </si>
  <si>
    <t xml:space="preserve">Бюджет 2018 год </t>
  </si>
  <si>
    <t>Расходы на исполнение судебных решений о взыскании из бюджета по искам юридических и физических лиц (пени)</t>
  </si>
  <si>
    <t>99 5 00 9101 9</t>
  </si>
  <si>
    <t>Устройство детской игровой площадки на территории КОЦ (возврат 2017 года)</t>
  </si>
  <si>
    <t>За счет дополнительных доходов</t>
  </si>
  <si>
    <t>18-365/1104</t>
  </si>
  <si>
    <t>100</t>
  </si>
  <si>
    <t>10 7 00 R467 0</t>
  </si>
  <si>
    <t>1116/18-Б98</t>
  </si>
  <si>
    <t>Устройство узла учета тепловой энергии ФОК "Каскад" (МБТ)</t>
  </si>
  <si>
    <t>Прочие компенсации (льгота по ком.услугам) МБТ</t>
  </si>
  <si>
    <t>Другие расходы по содержанию имущества (устройство узла тепловой энергии) МБТ</t>
  </si>
  <si>
    <t>Другие расходы по содержанию имущества (замена фильтров водоочистной станции)</t>
  </si>
  <si>
    <t>10 7 00 L467 0</t>
  </si>
  <si>
    <t>Другие расходы по содержанию имущества (замена фильтров водоочистной станции) МБТ</t>
  </si>
  <si>
    <t>МЦП "Развитие физической культуры и спорта на территории муниципального образования "Посёлок Чернышевский" Мирнинского района Республики Саха (Якутия) на 2018-2020 годы"</t>
  </si>
  <si>
    <t>Штрафы</t>
  </si>
  <si>
    <t>Уплата пеней по решению суда</t>
  </si>
  <si>
    <t>За счет  РБ</t>
  </si>
  <si>
    <t>99 5 00 6245 0</t>
  </si>
  <si>
    <t>99 5 00 S245 0</t>
  </si>
  <si>
    <t>14 2 00 6245 0</t>
  </si>
  <si>
    <t>14 2 00 6272 0</t>
  </si>
  <si>
    <t>14 2 00 S245 0</t>
  </si>
  <si>
    <t>14 2 00 S272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</si>
  <si>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</si>
  <si>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10 2 00 6245 0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</si>
  <si>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</si>
  <si>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10 2 00 6272 0</t>
  </si>
  <si>
    <t>10 2 00 S245 0</t>
  </si>
  <si>
    <t>10 2 00 S272 0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</si>
  <si>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</si>
  <si>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</si>
  <si>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0502</t>
  </si>
  <si>
    <t>245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</si>
  <si>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</si>
  <si>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</si>
  <si>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(МБ)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</si>
  <si>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минимального размера оплаты труда работников учреждений бюджетного сектора экономики (МБ)</t>
  </si>
  <si>
    <t>Приложение № 5</t>
  </si>
  <si>
    <t>Выполнение работ по  содержанию тротуаров и площадей</t>
  </si>
  <si>
    <t>№ IV-12-2 от 17.09.2018г.</t>
  </si>
  <si>
    <t>Разработка пректа земельного участка</t>
  </si>
  <si>
    <t>Монтаж и демонтаж Новогодней ели</t>
  </si>
  <si>
    <t>Вырубка кустарников на перекрестках дорог</t>
  </si>
  <si>
    <t>Оформление дизай-проекта благоустройства дворовых территорий</t>
  </si>
  <si>
    <t>Заключение договоров авторского надзора на дворовые территории</t>
  </si>
  <si>
    <t>Бюджет 2019 год</t>
  </si>
  <si>
    <t xml:space="preserve">Бюджет МО "Посёлок Чернышевский" Мирнинского района Республики Саха (Якутия) по расходной части на 2019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</si>
</sst>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color rgb="FFFF0000"/>
      <name val="Arial Cyr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10"/>
      <name val="Arial"/>
      <family val="2"/>
    </font>
    <font>
      <sz val="10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3" fillId="0" borderId="0"/>
    <xf numFmtId="0" fontId="25" fillId="0" borderId="0"/>
  </cellStyleXfs>
  <cellXfs count="454">
    <xf numFmtId="0" fontId="0" fillId="0" borderId="0" xfId="0"/>
    <xf numFmtId="0" fontId="3" fillId="0" borderId="0" xfId="0" applyFont="1" applyFill="1"/>
    <xf numFmtId="0" fontId="4" fillId="2" borderId="0" xfId="1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Alignment="1">
      <alignment horizontal="right"/>
    </xf>
    <xf numFmtId="0" fontId="3" fillId="2" borderId="0" xfId="0" applyFont="1" applyFill="1"/>
    <xf numFmtId="0" fontId="4" fillId="2" borderId="1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/>
    </xf>
    <xf numFmtId="49" fontId="4" fillId="2" borderId="7" xfId="1" applyNumberFormat="1" applyFont="1" applyFill="1" applyBorder="1" applyAlignment="1">
      <alignment horizontal="center"/>
    </xf>
    <xf numFmtId="4" fontId="7" fillId="2" borderId="10" xfId="1" applyNumberFormat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vertical="center" wrapText="1"/>
    </xf>
    <xf numFmtId="0" fontId="9" fillId="4" borderId="7" xfId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/>
    </xf>
    <xf numFmtId="49" fontId="8" fillId="4" borderId="7" xfId="1" applyNumberFormat="1" applyFont="1" applyFill="1" applyBorder="1" applyAlignment="1">
      <alignment horizontal="center"/>
    </xf>
    <xf numFmtId="4" fontId="8" fillId="5" borderId="7" xfId="1" applyNumberFormat="1" applyFont="1" applyFill="1" applyBorder="1" applyAlignment="1"/>
    <xf numFmtId="0" fontId="8" fillId="6" borderId="6" xfId="1" applyFont="1" applyFill="1" applyBorder="1" applyAlignment="1">
      <alignment wrapText="1"/>
    </xf>
    <xf numFmtId="0" fontId="9" fillId="6" borderId="7" xfId="1" applyFont="1" applyFill="1" applyBorder="1" applyAlignment="1">
      <alignment horizontal="center" wrapText="1"/>
    </xf>
    <xf numFmtId="49" fontId="9" fillId="6" borderId="7" xfId="1" applyNumberFormat="1" applyFont="1" applyFill="1" applyBorder="1" applyAlignment="1">
      <alignment horizontal="center"/>
    </xf>
    <xf numFmtId="49" fontId="8" fillId="6" borderId="7" xfId="1" applyNumberFormat="1" applyFont="1" applyFill="1" applyBorder="1" applyAlignment="1">
      <alignment horizontal="center"/>
    </xf>
    <xf numFmtId="4" fontId="8" fillId="7" borderId="7" xfId="1" applyNumberFormat="1" applyFont="1" applyFill="1" applyBorder="1" applyAlignment="1"/>
    <xf numFmtId="4" fontId="8" fillId="6" borderId="7" xfId="1" applyNumberFormat="1" applyFont="1" applyFill="1" applyBorder="1" applyAlignment="1"/>
    <xf numFmtId="4" fontId="8" fillId="6" borderId="9" xfId="1" applyNumberFormat="1" applyFont="1" applyFill="1" applyBorder="1" applyAlignment="1"/>
    <xf numFmtId="0" fontId="8" fillId="2" borderId="6" xfId="1" applyFont="1" applyFill="1" applyBorder="1" applyAlignment="1">
      <alignment vertical="center" wrapText="1"/>
    </xf>
    <xf numFmtId="0" fontId="9" fillId="2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/>
    </xf>
    <xf numFmtId="49" fontId="8" fillId="2" borderId="7" xfId="1" applyNumberFormat="1" applyFont="1" applyFill="1" applyBorder="1" applyAlignment="1">
      <alignment horizontal="center"/>
    </xf>
    <xf numFmtId="4" fontId="8" fillId="0" borderId="7" xfId="1" applyNumberFormat="1" applyFont="1" applyFill="1" applyBorder="1" applyAlignment="1"/>
    <xf numFmtId="4" fontId="8" fillId="2" borderId="7" xfId="1" applyNumberFormat="1" applyFont="1" applyFill="1" applyBorder="1" applyAlignment="1"/>
    <xf numFmtId="4" fontId="8" fillId="2" borderId="9" xfId="1" applyNumberFormat="1" applyFont="1" applyFill="1" applyBorder="1" applyAlignment="1"/>
    <xf numFmtId="49" fontId="10" fillId="2" borderId="7" xfId="1" applyNumberFormat="1" applyFont="1" applyFill="1" applyBorder="1" applyAlignment="1">
      <alignment horizontal="center"/>
    </xf>
    <xf numFmtId="4" fontId="4" fillId="0" borderId="7" xfId="1" applyNumberFormat="1" applyFont="1" applyFill="1" applyBorder="1" applyAlignment="1"/>
    <xf numFmtId="4" fontId="4" fillId="2" borderId="7" xfId="1" applyNumberFormat="1" applyFont="1" applyFill="1" applyBorder="1" applyAlignment="1"/>
    <xf numFmtId="4" fontId="4" fillId="2" borderId="9" xfId="1" applyNumberFormat="1" applyFont="1" applyFill="1" applyBorder="1" applyAlignment="1"/>
    <xf numFmtId="0" fontId="8" fillId="6" borderId="6" xfId="1" applyFont="1" applyFill="1" applyBorder="1" applyAlignment="1">
      <alignment vertical="center" wrapText="1"/>
    </xf>
    <xf numFmtId="0" fontId="9" fillId="6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4" fontId="4" fillId="2" borderId="0" xfId="1" applyNumberFormat="1" applyFont="1" applyFill="1" applyAlignment="1"/>
    <xf numFmtId="1" fontId="4" fillId="2" borderId="6" xfId="1" applyNumberFormat="1" applyFont="1" applyFill="1" applyBorder="1" applyAlignment="1">
      <alignment vertical="center" wrapText="1"/>
    </xf>
    <xf numFmtId="1" fontId="6" fillId="2" borderId="7" xfId="1" applyNumberFormat="1" applyFont="1" applyFill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wrapText="1"/>
    </xf>
    <xf numFmtId="1" fontId="6" fillId="2" borderId="7" xfId="1" applyNumberFormat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center"/>
    </xf>
    <xf numFmtId="4" fontId="7" fillId="0" borderId="7" xfId="1" applyNumberFormat="1" applyFont="1" applyFill="1" applyBorder="1" applyAlignment="1"/>
    <xf numFmtId="4" fontId="7" fillId="2" borderId="7" xfId="1" applyNumberFormat="1" applyFont="1" applyFill="1" applyBorder="1" applyAlignment="1"/>
    <xf numFmtId="4" fontId="7" fillId="2" borderId="9" xfId="1" applyNumberFormat="1" applyFont="1" applyFill="1" applyBorder="1" applyAlignment="1"/>
    <xf numFmtId="0" fontId="7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vertical="center"/>
    </xf>
    <xf numFmtId="49" fontId="7" fillId="2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vertical="center"/>
    </xf>
    <xf numFmtId="0" fontId="7" fillId="2" borderId="0" xfId="1" applyFont="1" applyFill="1" applyAlignment="1"/>
    <xf numFmtId="0" fontId="4" fillId="8" borderId="6" xfId="1" applyFont="1" applyFill="1" applyBorder="1" applyAlignment="1">
      <alignment vertical="center" wrapText="1"/>
    </xf>
    <xf numFmtId="4" fontId="4" fillId="0" borderId="7" xfId="1" applyNumberFormat="1" applyFont="1" applyFill="1" applyBorder="1" applyAlignment="1">
      <alignment horizontal="right"/>
    </xf>
    <xf numFmtId="4" fontId="4" fillId="9" borderId="7" xfId="1" applyNumberFormat="1" applyFont="1" applyFill="1" applyBorder="1" applyAlignment="1">
      <alignment horizontal="right"/>
    </xf>
    <xf numFmtId="4" fontId="12" fillId="0" borderId="7" xfId="1" applyNumberFormat="1" applyFont="1" applyFill="1" applyBorder="1" applyAlignment="1"/>
    <xf numFmtId="4" fontId="4" fillId="2" borderId="10" xfId="1" applyNumberFormat="1" applyFont="1" applyFill="1" applyBorder="1" applyAlignment="1"/>
    <xf numFmtId="1" fontId="11" fillId="0" borderId="7" xfId="1" applyNumberFormat="1" applyFont="1" applyFill="1" applyBorder="1" applyAlignment="1">
      <alignment vertical="center" wrapText="1"/>
    </xf>
    <xf numFmtId="0" fontId="11" fillId="0" borderId="7" xfId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/>
    </xf>
    <xf numFmtId="49" fontId="9" fillId="8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right" vertical="center"/>
    </xf>
    <xf numFmtId="4" fontId="11" fillId="0" borderId="7" xfId="1" applyNumberFormat="1" applyFont="1" applyFill="1" applyBorder="1" applyAlignment="1">
      <alignment horizontal="right" vertical="center"/>
    </xf>
    <xf numFmtId="1" fontId="6" fillId="0" borderId="7" xfId="1" applyNumberFormat="1" applyFont="1" applyFill="1" applyBorder="1" applyAlignment="1">
      <alignment vertical="center" wrapText="1"/>
    </xf>
    <xf numFmtId="49" fontId="6" fillId="0" borderId="7" xfId="1" applyNumberFormat="1" applyFont="1" applyFill="1" applyBorder="1" applyAlignment="1">
      <alignment horizontal="center" vertical="center"/>
    </xf>
    <xf numFmtId="49" fontId="10" fillId="0" borderId="7" xfId="1" applyNumberFormat="1" applyFont="1" applyFill="1" applyBorder="1" applyAlignment="1">
      <alignment horizontal="center" vertical="center"/>
    </xf>
    <xf numFmtId="4" fontId="10" fillId="0" borderId="7" xfId="1" applyNumberFormat="1" applyFont="1" applyFill="1" applyBorder="1" applyAlignment="1">
      <alignment horizontal="right"/>
    </xf>
    <xf numFmtId="4" fontId="13" fillId="0" borderId="7" xfId="1" applyNumberFormat="1" applyFont="1" applyFill="1" applyBorder="1" applyAlignment="1">
      <alignment horizontal="right"/>
    </xf>
    <xf numFmtId="0" fontId="13" fillId="8" borderId="6" xfId="1" applyFont="1" applyFill="1" applyBorder="1" applyAlignment="1">
      <alignment vertical="center" wrapText="1"/>
    </xf>
    <xf numFmtId="0" fontId="10" fillId="2" borderId="7" xfId="1" applyFont="1" applyFill="1" applyBorder="1" applyAlignment="1">
      <alignment horizontal="center" vertical="center" wrapText="1"/>
    </xf>
    <xf numFmtId="49" fontId="13" fillId="2" borderId="7" xfId="1" applyNumberFormat="1" applyFont="1" applyFill="1" applyBorder="1" applyAlignment="1">
      <alignment horizontal="center"/>
    </xf>
    <xf numFmtId="4" fontId="13" fillId="0" borderId="7" xfId="1" applyNumberFormat="1" applyFont="1" applyFill="1" applyBorder="1" applyAlignment="1"/>
    <xf numFmtId="4" fontId="13" fillId="2" borderId="7" xfId="1" applyNumberFormat="1" applyFont="1" applyFill="1" applyBorder="1" applyAlignment="1"/>
    <xf numFmtId="0" fontId="13" fillId="2" borderId="0" xfId="1" applyFont="1" applyFill="1" applyAlignment="1"/>
    <xf numFmtId="4" fontId="14" fillId="0" borderId="7" xfId="1" applyNumberFormat="1" applyFont="1" applyFill="1" applyBorder="1" applyAlignment="1"/>
    <xf numFmtId="4" fontId="14" fillId="2" borderId="7" xfId="1" applyNumberFormat="1" applyFont="1" applyFill="1" applyBorder="1" applyAlignment="1"/>
    <xf numFmtId="2" fontId="8" fillId="6" borderId="6" xfId="1" applyNumberFormat="1" applyFont="1" applyFill="1" applyBorder="1" applyAlignment="1">
      <alignment vertical="center" wrapText="1"/>
    </xf>
    <xf numFmtId="49" fontId="9" fillId="6" borderId="7" xfId="1" applyNumberFormat="1" applyFont="1" applyFill="1" applyBorder="1" applyAlignment="1">
      <alignment horizontal="center" vertical="center" wrapText="1"/>
    </xf>
    <xf numFmtId="49" fontId="9" fillId="6" borderId="7" xfId="1" applyNumberFormat="1" applyFont="1" applyFill="1" applyBorder="1" applyAlignment="1">
      <alignment horizontal="center" vertical="center"/>
    </xf>
    <xf numFmtId="49" fontId="8" fillId="6" borderId="7" xfId="1" applyNumberFormat="1" applyFont="1" applyFill="1" applyBorder="1" applyAlignment="1">
      <alignment horizontal="center" vertical="center"/>
    </xf>
    <xf numFmtId="2" fontId="9" fillId="6" borderId="7" xfId="1" applyNumberFormat="1" applyFont="1" applyFill="1" applyBorder="1" applyAlignment="1">
      <alignment horizontal="center" vertical="center"/>
    </xf>
    <xf numFmtId="4" fontId="8" fillId="7" borderId="7" xfId="1" applyNumberFormat="1" applyFont="1" applyFill="1" applyBorder="1" applyAlignment="1">
      <alignment vertical="center"/>
    </xf>
    <xf numFmtId="0" fontId="11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wrapText="1"/>
    </xf>
    <xf numFmtId="4" fontId="11" fillId="0" borderId="7" xfId="1" applyNumberFormat="1" applyFont="1" applyFill="1" applyBorder="1" applyAlignment="1"/>
    <xf numFmtId="4" fontId="11" fillId="2" borderId="7" xfId="1" applyNumberFormat="1" applyFont="1" applyFill="1" applyBorder="1" applyAlignment="1"/>
    <xf numFmtId="4" fontId="11" fillId="2" borderId="9" xfId="1" applyNumberFormat="1" applyFont="1" applyFill="1" applyBorder="1" applyAlignment="1"/>
    <xf numFmtId="0" fontId="9" fillId="2" borderId="7" xfId="1" applyFont="1" applyFill="1" applyBorder="1" applyAlignment="1">
      <alignment horizontal="center" wrapText="1"/>
    </xf>
    <xf numFmtId="0" fontId="13" fillId="2" borderId="6" xfId="1" applyFont="1" applyFill="1" applyBorder="1" applyAlignment="1">
      <alignment vertical="center" wrapText="1"/>
    </xf>
    <xf numFmtId="1" fontId="7" fillId="6" borderId="6" xfId="1" applyNumberFormat="1" applyFont="1" applyFill="1" applyBorder="1" applyAlignment="1">
      <alignment vertical="center" wrapText="1"/>
    </xf>
    <xf numFmtId="1" fontId="11" fillId="6" borderId="7" xfId="1" applyNumberFormat="1" applyFont="1" applyFill="1" applyBorder="1" applyAlignment="1">
      <alignment horizontal="center" wrapText="1"/>
    </xf>
    <xf numFmtId="49" fontId="11" fillId="6" borderId="7" xfId="1" applyNumberFormat="1" applyFont="1" applyFill="1" applyBorder="1" applyAlignment="1">
      <alignment horizontal="center"/>
    </xf>
    <xf numFmtId="49" fontId="7" fillId="6" borderId="7" xfId="1" applyNumberFormat="1" applyFont="1" applyFill="1" applyBorder="1" applyAlignment="1">
      <alignment horizontal="center"/>
    </xf>
    <xf numFmtId="4" fontId="15" fillId="7" borderId="7" xfId="1" applyNumberFormat="1" applyFont="1" applyFill="1" applyBorder="1" applyAlignment="1"/>
    <xf numFmtId="4" fontId="7" fillId="7" borderId="7" xfId="1" applyNumberFormat="1" applyFont="1" applyFill="1" applyBorder="1" applyAlignment="1"/>
    <xf numFmtId="4" fontId="15" fillId="6" borderId="7" xfId="1" applyNumberFormat="1" applyFont="1" applyFill="1" applyBorder="1" applyAlignment="1"/>
    <xf numFmtId="4" fontId="7" fillId="6" borderId="9" xfId="1" applyNumberFormat="1" applyFont="1" applyFill="1" applyBorder="1" applyAlignment="1"/>
    <xf numFmtId="49" fontId="9" fillId="8" borderId="7" xfId="1" applyNumberFormat="1" applyFont="1" applyFill="1" applyBorder="1" applyAlignment="1">
      <alignment horizontal="center"/>
    </xf>
    <xf numFmtId="4" fontId="16" fillId="0" borderId="7" xfId="1" applyNumberFormat="1" applyFont="1" applyFill="1" applyBorder="1" applyAlignment="1"/>
    <xf numFmtId="4" fontId="16" fillId="2" borderId="7" xfId="1" applyNumberFormat="1" applyFont="1" applyFill="1" applyBorder="1" applyAlignment="1"/>
    <xf numFmtId="4" fontId="16" fillId="2" borderId="9" xfId="1" applyNumberFormat="1" applyFont="1" applyFill="1" applyBorder="1" applyAlignment="1"/>
    <xf numFmtId="0" fontId="11" fillId="2" borderId="7" xfId="1" applyFont="1" applyFill="1" applyBorder="1" applyAlignment="1">
      <alignment horizontal="center" wrapText="1"/>
    </xf>
    <xf numFmtId="0" fontId="8" fillId="2" borderId="0" xfId="1" applyFont="1" applyFill="1" applyAlignment="1"/>
    <xf numFmtId="0" fontId="4" fillId="10" borderId="6" xfId="1" applyFont="1" applyFill="1" applyBorder="1" applyAlignment="1">
      <alignment vertical="center" wrapText="1"/>
    </xf>
    <xf numFmtId="1" fontId="9" fillId="2" borderId="7" xfId="1" applyNumberFormat="1" applyFont="1" applyFill="1" applyBorder="1" applyAlignment="1">
      <alignment horizontal="center" wrapText="1"/>
    </xf>
    <xf numFmtId="49" fontId="4" fillId="2" borderId="6" xfId="1" applyNumberFormat="1" applyFont="1" applyFill="1" applyBorder="1" applyAlignment="1">
      <alignment wrapText="1"/>
    </xf>
    <xf numFmtId="0" fontId="6" fillId="2" borderId="7" xfId="1" applyFont="1" applyFill="1" applyBorder="1" applyAlignment="1">
      <alignment horizontal="center" wrapText="1"/>
    </xf>
    <xf numFmtId="0" fontId="10" fillId="2" borderId="7" xfId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/>
    </xf>
    <xf numFmtId="49" fontId="17" fillId="2" borderId="6" xfId="1" applyNumberFormat="1" applyFont="1" applyFill="1" applyBorder="1" applyAlignment="1">
      <alignment vertical="top" wrapText="1"/>
    </xf>
    <xf numFmtId="49" fontId="18" fillId="2" borderId="7" xfId="1" applyNumberFormat="1" applyFont="1" applyFill="1" applyBorder="1" applyAlignment="1">
      <alignment horizontal="center"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19" fillId="2" borderId="7" xfId="1" applyNumberFormat="1" applyFont="1" applyFill="1" applyBorder="1" applyAlignment="1">
      <alignment horizontal="center" vertical="top" wrapText="1"/>
    </xf>
    <xf numFmtId="49" fontId="3" fillId="8" borderId="6" xfId="1" applyNumberFormat="1" applyFont="1" applyFill="1" applyBorder="1" applyAlignment="1">
      <alignment vertical="top" wrapText="1"/>
    </xf>
    <xf numFmtId="4" fontId="13" fillId="2" borderId="9" xfId="1" applyNumberFormat="1" applyFont="1" applyFill="1" applyBorder="1" applyAlignment="1"/>
    <xf numFmtId="4" fontId="8" fillId="4" borderId="7" xfId="1" applyNumberFormat="1" applyFont="1" applyFill="1" applyBorder="1" applyAlignment="1"/>
    <xf numFmtId="4" fontId="8" fillId="4" borderId="9" xfId="1" applyNumberFormat="1" applyFont="1" applyFill="1" applyBorder="1" applyAlignment="1"/>
    <xf numFmtId="0" fontId="8" fillId="2" borderId="6" xfId="1" applyFont="1" applyFill="1" applyBorder="1" applyAlignment="1">
      <alignment wrapText="1"/>
    </xf>
    <xf numFmtId="4" fontId="14" fillId="2" borderId="9" xfId="1" applyNumberFormat="1" applyFont="1" applyFill="1" applyBorder="1" applyAlignment="1"/>
    <xf numFmtId="1" fontId="8" fillId="4" borderId="6" xfId="1" applyNumberFormat="1" applyFont="1" applyFill="1" applyBorder="1" applyAlignment="1">
      <alignment vertical="center" wrapText="1"/>
    </xf>
    <xf numFmtId="1" fontId="9" fillId="4" borderId="7" xfId="1" applyNumberFormat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 vertical="center"/>
    </xf>
    <xf numFmtId="49" fontId="8" fillId="4" borderId="7" xfId="1" applyNumberFormat="1" applyFont="1" applyFill="1" applyBorder="1" applyAlignment="1">
      <alignment horizontal="center" vertical="center"/>
    </xf>
    <xf numFmtId="1" fontId="8" fillId="6" borderId="6" xfId="1" applyNumberFormat="1" applyFont="1" applyFill="1" applyBorder="1" applyAlignment="1">
      <alignment vertical="center" wrapText="1"/>
    </xf>
    <xf numFmtId="1" fontId="9" fillId="6" borderId="7" xfId="1" applyNumberFormat="1" applyFont="1" applyFill="1" applyBorder="1" applyAlignment="1">
      <alignment horizontal="center" vertical="center" wrapText="1"/>
    </xf>
    <xf numFmtId="4" fontId="8" fillId="11" borderId="7" xfId="1" applyNumberFormat="1" applyFont="1" applyFill="1" applyBorder="1" applyAlignment="1"/>
    <xf numFmtId="1" fontId="13" fillId="2" borderId="6" xfId="1" applyNumberFormat="1" applyFont="1" applyFill="1" applyBorder="1" applyAlignment="1">
      <alignment vertical="center" wrapText="1"/>
    </xf>
    <xf numFmtId="1" fontId="10" fillId="2" borderId="7" xfId="1" applyNumberFormat="1" applyFont="1" applyFill="1" applyBorder="1" applyAlignment="1">
      <alignment horizontal="center" vertical="center" wrapText="1"/>
    </xf>
    <xf numFmtId="49" fontId="10" fillId="2" borderId="7" xfId="1" applyNumberFormat="1" applyFont="1" applyFill="1" applyBorder="1" applyAlignment="1">
      <alignment horizontal="center" vertical="center"/>
    </xf>
    <xf numFmtId="49" fontId="13" fillId="2" borderId="7" xfId="1" applyNumberFormat="1" applyFont="1" applyFill="1" applyBorder="1" applyAlignment="1">
      <alignment horizontal="center" vertical="center"/>
    </xf>
    <xf numFmtId="0" fontId="8" fillId="8" borderId="6" xfId="1" applyFont="1" applyFill="1" applyBorder="1" applyAlignment="1">
      <alignment vertical="center" wrapText="1"/>
    </xf>
    <xf numFmtId="1" fontId="9" fillId="8" borderId="7" xfId="1" applyNumberFormat="1" applyFont="1" applyFill="1" applyBorder="1" applyAlignment="1">
      <alignment horizontal="center" vertical="center" wrapText="1"/>
    </xf>
    <xf numFmtId="49" fontId="8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 applyAlignment="1"/>
    <xf numFmtId="4" fontId="8" fillId="7" borderId="10" xfId="1" applyNumberFormat="1" applyFont="1" applyFill="1" applyBorder="1" applyAlignment="1"/>
    <xf numFmtId="1" fontId="6" fillId="0" borderId="7" xfId="1" applyNumberFormat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/>
    </xf>
    <xf numFmtId="49" fontId="4" fillId="0" borderId="7" xfId="1" applyNumberFormat="1" applyFont="1" applyFill="1" applyBorder="1" applyAlignment="1">
      <alignment horizontal="center"/>
    </xf>
    <xf numFmtId="1" fontId="8" fillId="2" borderId="6" xfId="1" applyNumberFormat="1" applyFont="1" applyFill="1" applyBorder="1" applyAlignment="1">
      <alignment vertical="center" wrapText="1"/>
    </xf>
    <xf numFmtId="1" fontId="13" fillId="2" borderId="6" xfId="1" applyNumberFormat="1" applyFont="1" applyFill="1" applyBorder="1" applyAlignment="1">
      <alignment horizontal="left" vertical="center" wrapText="1"/>
    </xf>
    <xf numFmtId="49" fontId="11" fillId="0" borderId="7" xfId="1" applyNumberFormat="1" applyFont="1" applyFill="1" applyBorder="1" applyAlignment="1">
      <alignment horizontal="center"/>
    </xf>
    <xf numFmtId="0" fontId="13" fillId="10" borderId="6" xfId="1" applyFont="1" applyFill="1" applyBorder="1" applyAlignment="1">
      <alignment vertical="center" wrapText="1"/>
    </xf>
    <xf numFmtId="0" fontId="9" fillId="0" borderId="7" xfId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1" fontId="4" fillId="0" borderId="6" xfId="1" applyNumberFormat="1" applyFont="1" applyFill="1" applyBorder="1" applyAlignment="1">
      <alignment vertical="center" wrapText="1"/>
    </xf>
    <xf numFmtId="0" fontId="7" fillId="8" borderId="6" xfId="1" applyFont="1" applyFill="1" applyBorder="1" applyAlignment="1">
      <alignment vertical="center" wrapText="1"/>
    </xf>
    <xf numFmtId="49" fontId="6" fillId="2" borderId="7" xfId="1" applyNumberFormat="1" applyFont="1" applyFill="1" applyBorder="1" applyAlignment="1">
      <alignment horizontal="center" wrapText="1"/>
    </xf>
    <xf numFmtId="4" fontId="15" fillId="0" borderId="7" xfId="1" applyNumberFormat="1" applyFont="1" applyFill="1" applyBorder="1" applyAlignment="1"/>
    <xf numFmtId="4" fontId="15" fillId="2" borderId="7" xfId="1" applyNumberFormat="1" applyFont="1" applyFill="1" applyBorder="1" applyAlignment="1"/>
    <xf numFmtId="1" fontId="7" fillId="6" borderId="6" xfId="1" applyNumberFormat="1" applyFont="1" applyFill="1" applyBorder="1" applyAlignment="1">
      <alignment horizontal="left" wrapText="1"/>
    </xf>
    <xf numFmtId="4" fontId="7" fillId="7" borderId="7" xfId="1" applyNumberFormat="1" applyFont="1" applyFill="1" applyBorder="1" applyAlignment="1">
      <alignment horizontal="right"/>
    </xf>
    <xf numFmtId="4" fontId="7" fillId="6" borderId="7" xfId="1" applyNumberFormat="1" applyFont="1" applyFill="1" applyBorder="1" applyAlignment="1">
      <alignment horizontal="right"/>
    </xf>
    <xf numFmtId="4" fontId="7" fillId="6" borderId="9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center"/>
    </xf>
    <xf numFmtId="49" fontId="10" fillId="0" borderId="7" xfId="1" applyNumberFormat="1" applyFont="1" applyFill="1" applyBorder="1" applyAlignment="1">
      <alignment horizontal="center"/>
    </xf>
    <xf numFmtId="49" fontId="11" fillId="7" borderId="7" xfId="1" applyNumberFormat="1" applyFont="1" applyFill="1" applyBorder="1" applyAlignment="1">
      <alignment horizontal="center"/>
    </xf>
    <xf numFmtId="1" fontId="4" fillId="8" borderId="6" xfId="1" applyNumberFormat="1" applyFont="1" applyFill="1" applyBorder="1" applyAlignment="1">
      <alignment vertical="center" wrapText="1"/>
    </xf>
    <xf numFmtId="0" fontId="8" fillId="4" borderId="6" xfId="1" applyFont="1" applyFill="1" applyBorder="1" applyAlignment="1">
      <alignment vertical="top" wrapText="1"/>
    </xf>
    <xf numFmtId="0" fontId="9" fillId="4" borderId="7" xfId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vertical="center" wrapText="1"/>
    </xf>
    <xf numFmtId="0" fontId="13" fillId="3" borderId="6" xfId="1" applyFont="1" applyFill="1" applyBorder="1" applyAlignment="1">
      <alignment vertical="center" wrapText="1"/>
    </xf>
    <xf numFmtId="0" fontId="10" fillId="0" borderId="7" xfId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/>
    </xf>
    <xf numFmtId="49" fontId="10" fillId="0" borderId="7" xfId="1" applyNumberFormat="1" applyFont="1" applyFill="1" applyBorder="1" applyAlignment="1">
      <alignment horizontal="center" wrapText="1"/>
    </xf>
    <xf numFmtId="49" fontId="13" fillId="0" borderId="7" xfId="1" applyNumberFormat="1" applyFont="1" applyFill="1" applyBorder="1" applyAlignment="1">
      <alignment horizontal="center" wrapText="1"/>
    </xf>
    <xf numFmtId="4" fontId="13" fillId="0" borderId="7" xfId="1" applyNumberFormat="1" applyFont="1" applyFill="1" applyBorder="1" applyAlignment="1">
      <alignment wrapText="1"/>
    </xf>
    <xf numFmtId="4" fontId="4" fillId="0" borderId="7" xfId="1" applyNumberFormat="1" applyFont="1" applyFill="1" applyBorder="1" applyAlignment="1">
      <alignment wrapText="1"/>
    </xf>
    <xf numFmtId="4" fontId="13" fillId="2" borderId="7" xfId="1" applyNumberFormat="1" applyFont="1" applyFill="1" applyBorder="1" applyAlignment="1">
      <alignment wrapText="1"/>
    </xf>
    <xf numFmtId="4" fontId="4" fillId="2" borderId="9" xfId="1" applyNumberFormat="1" applyFont="1" applyFill="1" applyBorder="1" applyAlignment="1">
      <alignment wrapText="1"/>
    </xf>
    <xf numFmtId="4" fontId="13" fillId="3" borderId="7" xfId="1" applyNumberFormat="1" applyFont="1" applyFill="1" applyBorder="1" applyAlignment="1">
      <alignment wrapText="1"/>
    </xf>
    <xf numFmtId="0" fontId="4" fillId="2" borderId="0" xfId="1" applyFont="1" applyFill="1" applyAlignment="1">
      <alignment wrapText="1"/>
    </xf>
    <xf numFmtId="49" fontId="9" fillId="2" borderId="7" xfId="1" applyNumberFormat="1" applyFont="1" applyFill="1" applyBorder="1" applyAlignment="1">
      <alignment horizontal="center" wrapText="1"/>
    </xf>
    <xf numFmtId="49" fontId="10" fillId="2" borderId="7" xfId="1" applyNumberFormat="1" applyFont="1" applyFill="1" applyBorder="1" applyAlignment="1">
      <alignment horizontal="center" vertical="center" wrapText="1"/>
    </xf>
    <xf numFmtId="4" fontId="13" fillId="3" borderId="7" xfId="1" applyNumberFormat="1" applyFont="1" applyFill="1" applyBorder="1" applyAlignment="1"/>
    <xf numFmtId="1" fontId="4" fillId="8" borderId="6" xfId="1" applyNumberFormat="1" applyFont="1" applyFill="1" applyBorder="1" applyAlignment="1">
      <alignment wrapText="1"/>
    </xf>
    <xf numFmtId="4" fontId="4" fillId="3" borderId="7" xfId="1" applyNumberFormat="1" applyFont="1" applyFill="1" applyBorder="1" applyAlignment="1"/>
    <xf numFmtId="49" fontId="9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/>
    </xf>
    <xf numFmtId="49" fontId="10" fillId="8" borderId="7" xfId="1" applyNumberFormat="1" applyFont="1" applyFill="1" applyBorder="1" applyAlignment="1">
      <alignment horizontal="center"/>
    </xf>
    <xf numFmtId="49" fontId="11" fillId="8" borderId="7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1" fontId="7" fillId="12" borderId="6" xfId="1" applyNumberFormat="1" applyFont="1" applyFill="1" applyBorder="1" applyAlignment="1">
      <alignment wrapText="1"/>
    </xf>
    <xf numFmtId="49" fontId="11" fillId="12" borderId="7" xfId="1" applyNumberFormat="1" applyFont="1" applyFill="1" applyBorder="1" applyAlignment="1">
      <alignment horizontal="center" wrapText="1"/>
    </xf>
    <xf numFmtId="49" fontId="11" fillId="12" borderId="7" xfId="1" applyNumberFormat="1" applyFont="1" applyFill="1" applyBorder="1" applyAlignment="1">
      <alignment horizontal="center"/>
    </xf>
    <xf numFmtId="49" fontId="7" fillId="12" borderId="7" xfId="1" applyNumberFormat="1" applyFont="1" applyFill="1" applyBorder="1" applyAlignment="1">
      <alignment horizontal="center"/>
    </xf>
    <xf numFmtId="4" fontId="7" fillId="11" borderId="7" xfId="1" applyNumberFormat="1" applyFont="1" applyFill="1" applyBorder="1" applyAlignment="1"/>
    <xf numFmtId="1" fontId="13" fillId="6" borderId="6" xfId="1" applyNumberFormat="1" applyFont="1" applyFill="1" applyBorder="1" applyAlignment="1">
      <alignment vertical="center" wrapText="1"/>
    </xf>
    <xf numFmtId="1" fontId="10" fillId="6" borderId="7" xfId="1" applyNumberFormat="1" applyFont="1" applyFill="1" applyBorder="1" applyAlignment="1">
      <alignment horizontal="center" wrapText="1"/>
    </xf>
    <xf numFmtId="49" fontId="10" fillId="6" borderId="7" xfId="1" applyNumberFormat="1" applyFont="1" applyFill="1" applyBorder="1" applyAlignment="1">
      <alignment horizontal="center"/>
    </xf>
    <xf numFmtId="49" fontId="13" fillId="6" borderId="7" xfId="1" applyNumberFormat="1" applyFont="1" applyFill="1" applyBorder="1" applyAlignment="1">
      <alignment horizontal="center"/>
    </xf>
    <xf numFmtId="4" fontId="13" fillId="7" borderId="7" xfId="1" applyNumberFormat="1" applyFont="1" applyFill="1" applyBorder="1" applyAlignment="1"/>
    <xf numFmtId="1" fontId="10" fillId="8" borderId="7" xfId="1" applyNumberFormat="1" applyFont="1" applyFill="1" applyBorder="1" applyAlignment="1">
      <alignment horizontal="center" wrapText="1"/>
    </xf>
    <xf numFmtId="49" fontId="13" fillId="8" borderId="7" xfId="1" applyNumberFormat="1" applyFont="1" applyFill="1" applyBorder="1" applyAlignment="1">
      <alignment horizontal="center"/>
    </xf>
    <xf numFmtId="0" fontId="8" fillId="12" borderId="6" xfId="1" applyFont="1" applyFill="1" applyBorder="1" applyAlignment="1">
      <alignment wrapText="1"/>
    </xf>
    <xf numFmtId="0" fontId="9" fillId="12" borderId="7" xfId="1" applyFont="1" applyFill="1" applyBorder="1" applyAlignment="1">
      <alignment horizontal="center" wrapText="1"/>
    </xf>
    <xf numFmtId="49" fontId="9" fillId="12" borderId="7" xfId="1" applyNumberFormat="1" applyFont="1" applyFill="1" applyBorder="1" applyAlignment="1">
      <alignment horizontal="center"/>
    </xf>
    <xf numFmtId="49" fontId="8" fillId="12" borderId="7" xfId="1" applyNumberFormat="1" applyFont="1" applyFill="1" applyBorder="1" applyAlignment="1">
      <alignment horizontal="center"/>
    </xf>
    <xf numFmtId="49" fontId="6" fillId="12" borderId="7" xfId="1" applyNumberFormat="1" applyFont="1" applyFill="1" applyBorder="1" applyAlignment="1">
      <alignment horizontal="center"/>
    </xf>
    <xf numFmtId="4" fontId="8" fillId="12" borderId="7" xfId="1" applyNumberFormat="1" applyFont="1" applyFill="1" applyBorder="1" applyAlignment="1"/>
    <xf numFmtId="4" fontId="8" fillId="12" borderId="9" xfId="1" applyNumberFormat="1" applyFont="1" applyFill="1" applyBorder="1" applyAlignment="1"/>
    <xf numFmtId="4" fontId="4" fillId="0" borderId="8" xfId="1" applyNumberFormat="1" applyFont="1" applyFill="1" applyBorder="1" applyAlignment="1"/>
    <xf numFmtId="4" fontId="8" fillId="0" borderId="7" xfId="1" applyNumberFormat="1" applyFont="1" applyFill="1" applyBorder="1" applyAlignment="1" applyProtection="1">
      <protection locked="0"/>
    </xf>
    <xf numFmtId="4" fontId="8" fillId="2" borderId="7" xfId="1" applyNumberFormat="1" applyFont="1" applyFill="1" applyBorder="1" applyAlignment="1" applyProtection="1">
      <protection locked="0"/>
    </xf>
    <xf numFmtId="49" fontId="10" fillId="2" borderId="7" xfId="1" applyNumberFormat="1" applyFont="1" applyFill="1" applyBorder="1" applyAlignment="1">
      <alignment horizontal="center" wrapText="1"/>
    </xf>
    <xf numFmtId="0" fontId="11" fillId="2" borderId="0" xfId="1" applyFont="1" applyFill="1" applyAlignment="1"/>
    <xf numFmtId="0" fontId="10" fillId="2" borderId="0" xfId="1" applyFont="1" applyFill="1" applyAlignment="1"/>
    <xf numFmtId="4" fontId="10" fillId="0" borderId="7" xfId="1" applyNumberFormat="1" applyFont="1" applyFill="1" applyBorder="1" applyAlignment="1"/>
    <xf numFmtId="0" fontId="9" fillId="2" borderId="6" xfId="1" applyFont="1" applyFill="1" applyBorder="1" applyAlignment="1">
      <alignment vertical="center" wrapText="1"/>
    </xf>
    <xf numFmtId="4" fontId="9" fillId="0" borderId="7" xfId="1" applyNumberFormat="1" applyFont="1" applyFill="1" applyBorder="1" applyAlignment="1"/>
    <xf numFmtId="4" fontId="9" fillId="2" borderId="7" xfId="1" applyNumberFormat="1" applyFont="1" applyFill="1" applyBorder="1" applyAlignment="1"/>
    <xf numFmtId="4" fontId="9" fillId="2" borderId="9" xfId="1" applyNumberFormat="1" applyFont="1" applyFill="1" applyBorder="1" applyAlignment="1"/>
    <xf numFmtId="0" fontId="6" fillId="2" borderId="0" xfId="1" applyFont="1" applyFill="1" applyAlignment="1"/>
    <xf numFmtId="0" fontId="10" fillId="2" borderId="6" xfId="1" applyFont="1" applyFill="1" applyBorder="1" applyAlignment="1">
      <alignment vertical="center" wrapText="1"/>
    </xf>
    <xf numFmtId="4" fontId="10" fillId="2" borderId="7" xfId="1" applyNumberFormat="1" applyFont="1" applyFill="1" applyBorder="1" applyAlignment="1"/>
    <xf numFmtId="0" fontId="17" fillId="0" borderId="7" xfId="0" applyFont="1" applyBorder="1" applyAlignment="1">
      <alignment horizontal="left" wrapText="1"/>
    </xf>
    <xf numFmtId="0" fontId="9" fillId="0" borderId="7" xfId="1" applyFont="1" applyFill="1" applyBorder="1" applyAlignment="1">
      <alignment horizontal="center" wrapText="1"/>
    </xf>
    <xf numFmtId="4" fontId="9" fillId="0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>
      <alignment horizontal="center"/>
    </xf>
    <xf numFmtId="4" fontId="7" fillId="0" borderId="7" xfId="1" applyNumberFormat="1" applyFont="1" applyFill="1" applyBorder="1" applyAlignment="1">
      <alignment horizontal="center"/>
    </xf>
    <xf numFmtId="4" fontId="8" fillId="2" borderId="9" xfId="1" applyNumberFormat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3" fillId="0" borderId="7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4" fontId="8" fillId="2" borderId="7" xfId="1" applyNumberFormat="1" applyFont="1" applyFill="1" applyBorder="1" applyAlignment="1">
      <alignment horizontal="center"/>
    </xf>
    <xf numFmtId="4" fontId="8" fillId="2" borderId="10" xfId="1" applyNumberFormat="1" applyFont="1" applyFill="1" applyBorder="1" applyAlignment="1">
      <alignment horizontal="center"/>
    </xf>
    <xf numFmtId="4" fontId="8" fillId="2" borderId="10" xfId="1" applyNumberFormat="1" applyFont="1" applyFill="1" applyBorder="1" applyAlignment="1"/>
    <xf numFmtId="0" fontId="4" fillId="6" borderId="6" xfId="1" applyFont="1" applyFill="1" applyBorder="1" applyAlignment="1">
      <alignment wrapText="1"/>
    </xf>
    <xf numFmtId="0" fontId="6" fillId="6" borderId="7" xfId="1" applyFont="1" applyFill="1" applyBorder="1" applyAlignment="1">
      <alignment horizontal="center" wrapText="1"/>
    </xf>
    <xf numFmtId="49" fontId="4" fillId="6" borderId="7" xfId="1" applyNumberFormat="1" applyFont="1" applyFill="1" applyBorder="1" applyAlignment="1">
      <alignment horizontal="center"/>
    </xf>
    <xf numFmtId="4" fontId="13" fillId="6" borderId="7" xfId="1" applyNumberFormat="1" applyFont="1" applyFill="1" applyBorder="1" applyAlignment="1"/>
    <xf numFmtId="4" fontId="13" fillId="6" borderId="9" xfId="1" applyNumberFormat="1" applyFont="1" applyFill="1" applyBorder="1" applyAlignment="1"/>
    <xf numFmtId="0" fontId="13" fillId="2" borderId="6" xfId="1" applyFont="1" applyFill="1" applyBorder="1" applyAlignment="1">
      <alignment wrapText="1"/>
    </xf>
    <xf numFmtId="0" fontId="13" fillId="2" borderId="12" xfId="1" applyFont="1" applyFill="1" applyBorder="1" applyAlignment="1"/>
    <xf numFmtId="0" fontId="9" fillId="2" borderId="13" xfId="1" applyFont="1" applyFill="1" applyBorder="1" applyAlignment="1">
      <alignment horizontal="center"/>
    </xf>
    <xf numFmtId="0" fontId="6" fillId="2" borderId="13" xfId="1" applyFont="1" applyFill="1" applyBorder="1" applyAlignment="1">
      <alignment horizontal="center"/>
    </xf>
    <xf numFmtId="0" fontId="4" fillId="2" borderId="13" xfId="1" applyFont="1" applyFill="1" applyBorder="1" applyAlignment="1">
      <alignment horizontal="center"/>
    </xf>
    <xf numFmtId="4" fontId="8" fillId="0" borderId="13" xfId="1" applyNumberFormat="1" applyFont="1" applyFill="1" applyBorder="1" applyAlignment="1" applyProtection="1">
      <protection locked="0"/>
    </xf>
    <xf numFmtId="0" fontId="4" fillId="2" borderId="0" xfId="1" applyFont="1" applyFill="1" applyAlignment="1">
      <alignment horizontal="center"/>
    </xf>
    <xf numFmtId="4" fontId="4" fillId="0" borderId="0" xfId="1" applyNumberFormat="1" applyFont="1" applyFill="1" applyAlignment="1"/>
    <xf numFmtId="0" fontId="4" fillId="0" borderId="0" xfId="1" applyFont="1" applyFill="1" applyAlignment="1"/>
    <xf numFmtId="0" fontId="4" fillId="2" borderId="0" xfId="1" applyFont="1" applyFill="1" applyAlignment="1">
      <alignment horizontal="right"/>
    </xf>
    <xf numFmtId="0" fontId="6" fillId="2" borderId="0" xfId="1" applyFont="1" applyFill="1" applyAlignment="1">
      <alignment horizontal="left"/>
    </xf>
    <xf numFmtId="0" fontId="4" fillId="2" borderId="0" xfId="1" applyFont="1" applyFill="1" applyBorder="1" applyAlignment="1">
      <alignment horizontal="right"/>
    </xf>
    <xf numFmtId="0" fontId="6" fillId="2" borderId="0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4" fillId="2" borderId="0" xfId="1" applyFont="1" applyFill="1" applyBorder="1" applyAlignment="1"/>
    <xf numFmtId="4" fontId="21" fillId="3" borderId="7" xfId="1" applyNumberFormat="1" applyFont="1" applyFill="1" applyBorder="1" applyAlignment="1"/>
    <xf numFmtId="4" fontId="21" fillId="8" borderId="7" xfId="1" applyNumberFormat="1" applyFont="1" applyFill="1" applyBorder="1" applyAlignment="1"/>
    <xf numFmtId="4" fontId="13" fillId="8" borderId="9" xfId="1" applyNumberFormat="1" applyFont="1" applyFill="1" applyBorder="1" applyAlignment="1"/>
    <xf numFmtId="0" fontId="2" fillId="13" borderId="7" xfId="2" applyFont="1" applyFill="1" applyBorder="1" applyAlignment="1">
      <alignment horizontal="left" vertical="center" wrapText="1"/>
    </xf>
    <xf numFmtId="0" fontId="10" fillId="8" borderId="7" xfId="1" applyFont="1" applyFill="1" applyBorder="1" applyAlignment="1">
      <alignment horizontal="center" wrapText="1"/>
    </xf>
    <xf numFmtId="4" fontId="11" fillId="0" borderId="7" xfId="1" applyNumberFormat="1" applyFont="1" applyFill="1" applyBorder="1" applyAlignment="1">
      <alignment horizontal="center"/>
    </xf>
    <xf numFmtId="4" fontId="11" fillId="2" borderId="7" xfId="1" applyNumberFormat="1" applyFont="1" applyFill="1" applyBorder="1" applyAlignment="1">
      <alignment horizontal="center"/>
    </xf>
    <xf numFmtId="4" fontId="7" fillId="2" borderId="9" xfId="1" applyNumberFormat="1" applyFont="1" applyFill="1" applyBorder="1" applyAlignment="1">
      <alignment horizontal="center"/>
    </xf>
    <xf numFmtId="4" fontId="11" fillId="2" borderId="9" xfId="1" applyNumberFormat="1" applyFont="1" applyFill="1" applyBorder="1" applyAlignment="1">
      <alignment horizontal="center"/>
    </xf>
    <xf numFmtId="4" fontId="4" fillId="0" borderId="7" xfId="1" applyNumberFormat="1" applyFont="1" applyFill="1" applyBorder="1" applyAlignment="1">
      <alignment horizontal="center"/>
    </xf>
    <xf numFmtId="4" fontId="4" fillId="2" borderId="7" xfId="1" applyNumberFormat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center"/>
    </xf>
    <xf numFmtId="4" fontId="7" fillId="2" borderId="7" xfId="1" applyNumberFormat="1" applyFont="1" applyFill="1" applyBorder="1" applyAlignment="1">
      <alignment horizontal="center"/>
    </xf>
    <xf numFmtId="4" fontId="14" fillId="0" borderId="7" xfId="1" applyNumberFormat="1" applyFont="1" applyFill="1" applyBorder="1" applyAlignment="1">
      <alignment horizontal="center"/>
    </xf>
    <xf numFmtId="4" fontId="14" fillId="2" borderId="7" xfId="1" applyNumberFormat="1" applyFont="1" applyFill="1" applyBorder="1" applyAlignment="1">
      <alignment horizontal="center"/>
    </xf>
    <xf numFmtId="49" fontId="9" fillId="8" borderId="7" xfId="1" applyNumberFormat="1" applyFont="1" applyFill="1" applyBorder="1" applyAlignment="1">
      <alignment horizontal="center" wrapText="1"/>
    </xf>
    <xf numFmtId="2" fontId="9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 applyAlignment="1">
      <alignment horizontal="center"/>
    </xf>
    <xf numFmtId="4" fontId="8" fillId="3" borderId="10" xfId="1" applyNumberFormat="1" applyFont="1" applyFill="1" applyBorder="1" applyAlignment="1">
      <alignment horizontal="center"/>
    </xf>
    <xf numFmtId="0" fontId="24" fillId="2" borderId="0" xfId="1" applyFont="1" applyFill="1" applyAlignment="1"/>
    <xf numFmtId="4" fontId="8" fillId="5" borderId="7" xfId="1" applyNumberFormat="1" applyFont="1" applyFill="1" applyBorder="1" applyAlignment="1">
      <alignment horizontal="right"/>
    </xf>
    <xf numFmtId="4" fontId="8" fillId="7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>
      <alignment horizontal="right"/>
    </xf>
    <xf numFmtId="4" fontId="7" fillId="0" borderId="7" xfId="1" applyNumberFormat="1" applyFont="1" applyFill="1" applyBorder="1" applyAlignment="1">
      <alignment horizontal="right"/>
    </xf>
    <xf numFmtId="4" fontId="14" fillId="0" borderId="7" xfId="1" applyNumberFormat="1" applyFont="1" applyFill="1" applyBorder="1" applyAlignment="1">
      <alignment horizontal="right"/>
    </xf>
    <xf numFmtId="4" fontId="8" fillId="7" borderId="7" xfId="1" applyNumberFormat="1" applyFont="1" applyFill="1" applyBorder="1" applyAlignment="1">
      <alignment horizontal="right" vertical="center"/>
    </xf>
    <xf numFmtId="4" fontId="8" fillId="3" borderId="7" xfId="1" applyNumberFormat="1" applyFont="1" applyFill="1" applyBorder="1" applyAlignment="1">
      <alignment horizontal="right"/>
    </xf>
    <xf numFmtId="4" fontId="11" fillId="0" borderId="7" xfId="1" applyNumberFormat="1" applyFont="1" applyFill="1" applyBorder="1" applyAlignment="1">
      <alignment horizontal="right"/>
    </xf>
    <xf numFmtId="4" fontId="15" fillId="7" borderId="7" xfId="1" applyNumberFormat="1" applyFont="1" applyFill="1" applyBorder="1" applyAlignment="1">
      <alignment horizontal="right"/>
    </xf>
    <xf numFmtId="4" fontId="21" fillId="3" borderId="7" xfId="1" applyNumberFormat="1" applyFont="1" applyFill="1" applyBorder="1" applyAlignment="1">
      <alignment horizontal="right"/>
    </xf>
    <xf numFmtId="4" fontId="16" fillId="0" borderId="7" xfId="1" applyNumberFormat="1" applyFont="1" applyFill="1" applyBorder="1" applyAlignment="1">
      <alignment horizontal="right"/>
    </xf>
    <xf numFmtId="4" fontId="13" fillId="0" borderId="7" xfId="1" applyNumberFormat="1" applyFont="1" applyFill="1" applyBorder="1" applyAlignment="1">
      <alignment horizontal="right" wrapText="1"/>
    </xf>
    <xf numFmtId="4" fontId="4" fillId="3" borderId="7" xfId="1" applyNumberFormat="1" applyFont="1" applyFill="1" applyBorder="1" applyAlignment="1">
      <alignment horizontal="right"/>
    </xf>
    <xf numFmtId="4" fontId="7" fillId="11" borderId="7" xfId="1" applyNumberFormat="1" applyFont="1" applyFill="1" applyBorder="1" applyAlignment="1">
      <alignment horizontal="right"/>
    </xf>
    <xf numFmtId="4" fontId="13" fillId="7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4" fontId="8" fillId="11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 applyProtection="1">
      <alignment horizontal="right"/>
      <protection locked="0"/>
    </xf>
    <xf numFmtId="4" fontId="8" fillId="0" borderId="13" xfId="1" applyNumberFormat="1" applyFont="1" applyFill="1" applyBorder="1" applyAlignment="1" applyProtection="1">
      <alignment horizontal="right"/>
      <protection locked="0"/>
    </xf>
    <xf numFmtId="0" fontId="4" fillId="0" borderId="6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4" fontId="21" fillId="0" borderId="7" xfId="1" applyNumberFormat="1" applyFont="1" applyFill="1" applyBorder="1" applyAlignment="1"/>
    <xf numFmtId="4" fontId="21" fillId="2" borderId="7" xfId="1" applyNumberFormat="1" applyFont="1" applyFill="1" applyBorder="1" applyAlignment="1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3" fillId="0" borderId="0" xfId="0" applyFont="1" applyFill="1" applyAlignment="1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2" fontId="7" fillId="0" borderId="8" xfId="1" applyNumberFormat="1" applyFont="1" applyFill="1" applyBorder="1" applyAlignment="1">
      <alignment horizontal="center" vertical="center" wrapText="1"/>
    </xf>
    <xf numFmtId="4" fontId="8" fillId="3" borderId="7" xfId="1" applyNumberFormat="1" applyFont="1" applyFill="1" applyBorder="1" applyAlignment="1">
      <alignment vertical="center"/>
    </xf>
    <xf numFmtId="4" fontId="4" fillId="2" borderId="10" xfId="1" applyNumberFormat="1" applyFont="1" applyFill="1" applyBorder="1" applyAlignment="1">
      <alignment wrapText="1"/>
    </xf>
    <xf numFmtId="4" fontId="7" fillId="12" borderId="7" xfId="1" applyNumberFormat="1" applyFont="1" applyFill="1" applyBorder="1" applyAlignment="1"/>
    <xf numFmtId="4" fontId="7" fillId="12" borderId="10" xfId="1" applyNumberFormat="1" applyFont="1" applyFill="1" applyBorder="1" applyAlignment="1"/>
    <xf numFmtId="0" fontId="13" fillId="2" borderId="0" xfId="1" applyFont="1" applyFill="1" applyAlignment="1">
      <alignment horizontal="right"/>
    </xf>
    <xf numFmtId="0" fontId="1" fillId="0" borderId="0" xfId="0" applyFont="1" applyFill="1" applyAlignment="1">
      <alignment wrapText="1"/>
    </xf>
    <xf numFmtId="4" fontId="7" fillId="0" borderId="7" xfId="1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/>
    <xf numFmtId="4" fontId="2" fillId="2" borderId="0" xfId="0" applyNumberFormat="1" applyFont="1" applyFill="1" applyAlignment="1">
      <alignment horizontal="left"/>
    </xf>
    <xf numFmtId="4" fontId="1" fillId="0" borderId="0" xfId="0" applyNumberFormat="1" applyFont="1" applyFill="1" applyAlignment="1">
      <alignment wrapText="1"/>
    </xf>
    <xf numFmtId="4" fontId="13" fillId="2" borderId="0" xfId="1" applyNumberFormat="1" applyFont="1" applyFill="1" applyAlignment="1"/>
    <xf numFmtId="4" fontId="8" fillId="8" borderId="0" xfId="1" applyNumberFormat="1" applyFont="1" applyFill="1" applyAlignment="1"/>
    <xf numFmtId="4" fontId="4" fillId="8" borderId="0" xfId="1" applyNumberFormat="1" applyFont="1" applyFill="1" applyAlignment="1"/>
    <xf numFmtId="4" fontId="7" fillId="8" borderId="0" xfId="1" applyNumberFormat="1" applyFont="1" applyFill="1" applyAlignment="1"/>
    <xf numFmtId="4" fontId="13" fillId="8" borderId="0" xfId="1" applyNumberFormat="1" applyFont="1" applyFill="1" applyAlignment="1"/>
    <xf numFmtId="49" fontId="4" fillId="2" borderId="7" xfId="1" applyNumberFormat="1" applyFont="1" applyFill="1" applyBorder="1" applyAlignment="1">
      <alignment horizontal="center" wrapText="1"/>
    </xf>
    <xf numFmtId="4" fontId="13" fillId="8" borderId="7" xfId="1" applyNumberFormat="1" applyFont="1" applyFill="1" applyBorder="1" applyAlignment="1"/>
    <xf numFmtId="4" fontId="4" fillId="8" borderId="9" xfId="1" applyNumberFormat="1" applyFont="1" applyFill="1" applyBorder="1" applyAlignment="1"/>
    <xf numFmtId="4" fontId="13" fillId="3" borderId="10" xfId="1" applyNumberFormat="1" applyFont="1" applyFill="1" applyBorder="1" applyAlignment="1"/>
    <xf numFmtId="1" fontId="11" fillId="12" borderId="7" xfId="1" applyNumberFormat="1" applyFont="1" applyFill="1" applyBorder="1" applyAlignment="1">
      <alignment horizontal="center" wrapText="1"/>
    </xf>
    <xf numFmtId="4" fontId="7" fillId="11" borderId="10" xfId="1" applyNumberFormat="1" applyFont="1" applyFill="1" applyBorder="1" applyAlignment="1"/>
    <xf numFmtId="0" fontId="3" fillId="0" borderId="11" xfId="0" applyFont="1" applyBorder="1" applyAlignment="1">
      <alignment horizontal="left" wrapText="1"/>
    </xf>
    <xf numFmtId="49" fontId="6" fillId="8" borderId="7" xfId="1" applyNumberFormat="1" applyFont="1" applyFill="1" applyBorder="1" applyAlignment="1">
      <alignment horizontal="center" wrapText="1"/>
    </xf>
    <xf numFmtId="49" fontId="6" fillId="8" borderId="7" xfId="1" applyNumberFormat="1" applyFont="1" applyFill="1" applyBorder="1" applyAlignment="1">
      <alignment horizontal="center"/>
    </xf>
    <xf numFmtId="49" fontId="4" fillId="8" borderId="7" xfId="1" applyNumberFormat="1" applyFont="1" applyFill="1" applyBorder="1" applyAlignment="1">
      <alignment horizontal="center"/>
    </xf>
    <xf numFmtId="4" fontId="14" fillId="3" borderId="7" xfId="1" applyNumberFormat="1" applyFont="1" applyFill="1" applyBorder="1" applyAlignment="1"/>
    <xf numFmtId="4" fontId="14" fillId="8" borderId="7" xfId="1" applyNumberFormat="1" applyFont="1" applyFill="1" applyBorder="1" applyAlignment="1"/>
    <xf numFmtId="4" fontId="4" fillId="8" borderId="7" xfId="1" applyNumberFormat="1" applyFont="1" applyFill="1" applyBorder="1" applyAlignment="1"/>
    <xf numFmtId="4" fontId="12" fillId="3" borderId="7" xfId="1" applyNumberFormat="1" applyFont="1" applyFill="1" applyBorder="1" applyAlignment="1"/>
    <xf numFmtId="4" fontId="4" fillId="2" borderId="15" xfId="1" applyNumberFormat="1" applyFont="1" applyFill="1" applyBorder="1" applyAlignment="1"/>
    <xf numFmtId="49" fontId="10" fillId="10" borderId="7" xfId="1" applyNumberFormat="1" applyFont="1" applyFill="1" applyBorder="1" applyAlignment="1">
      <alignment horizontal="center"/>
    </xf>
    <xf numFmtId="49" fontId="10" fillId="9" borderId="7" xfId="1" applyNumberFormat="1" applyFont="1" applyFill="1" applyBorder="1" applyAlignment="1">
      <alignment horizontal="center"/>
    </xf>
    <xf numFmtId="49" fontId="13" fillId="10" borderId="7" xfId="1" applyNumberFormat="1" applyFont="1" applyFill="1" applyBorder="1" applyAlignment="1">
      <alignment horizontal="center"/>
    </xf>
    <xf numFmtId="4" fontId="13" fillId="9" borderId="7" xfId="1" applyNumberFormat="1" applyFont="1" applyFill="1" applyBorder="1" applyAlignment="1"/>
    <xf numFmtId="4" fontId="13" fillId="10" borderId="7" xfId="1" applyNumberFormat="1" applyFont="1" applyFill="1" applyBorder="1" applyAlignment="1"/>
    <xf numFmtId="4" fontId="13" fillId="10" borderId="10" xfId="1" applyNumberFormat="1" applyFont="1" applyFill="1" applyBorder="1" applyAlignment="1"/>
    <xf numFmtId="4" fontId="13" fillId="9" borderId="7" xfId="1" applyNumberFormat="1" applyFont="1" applyFill="1" applyBorder="1" applyAlignment="1">
      <alignment horizontal="right"/>
    </xf>
    <xf numFmtId="0" fontId="8" fillId="10" borderId="6" xfId="1" applyFont="1" applyFill="1" applyBorder="1" applyAlignment="1">
      <alignment wrapText="1"/>
    </xf>
    <xf numFmtId="49" fontId="10" fillId="3" borderId="7" xfId="1" applyNumberFormat="1" applyFont="1" applyFill="1" applyBorder="1" applyAlignment="1">
      <alignment horizontal="center"/>
    </xf>
    <xf numFmtId="4" fontId="13" fillId="8" borderId="10" xfId="1" applyNumberFormat="1" applyFont="1" applyFill="1" applyBorder="1" applyAlignment="1"/>
    <xf numFmtId="1" fontId="11" fillId="2" borderId="7" xfId="1" applyNumberFormat="1" applyFont="1" applyFill="1" applyBorder="1" applyAlignment="1">
      <alignment horizontal="center" wrapText="1"/>
    </xf>
    <xf numFmtId="4" fontId="7" fillId="2" borderId="10" xfId="1" applyNumberFormat="1" applyFont="1" applyFill="1" applyBorder="1" applyAlignment="1"/>
    <xf numFmtId="4" fontId="15" fillId="0" borderId="7" xfId="1" applyNumberFormat="1" applyFont="1" applyFill="1" applyBorder="1" applyAlignment="1">
      <alignment horizontal="right"/>
    </xf>
    <xf numFmtId="1" fontId="7" fillId="2" borderId="6" xfId="1" applyNumberFormat="1" applyFont="1" applyFill="1" applyBorder="1" applyAlignment="1">
      <alignment horizontal="left" vertical="center" wrapText="1"/>
    </xf>
    <xf numFmtId="4" fontId="7" fillId="3" borderId="7" xfId="1" applyNumberFormat="1" applyFont="1" applyFill="1" applyBorder="1" applyAlignment="1"/>
    <xf numFmtId="0" fontId="4" fillId="8" borderId="0" xfId="1" applyFont="1" applyFill="1" applyAlignment="1"/>
    <xf numFmtId="4" fontId="4" fillId="8" borderId="0" xfId="1" applyNumberFormat="1" applyFont="1" applyFill="1" applyAlignment="1">
      <alignment wrapText="1"/>
    </xf>
    <xf numFmtId="0" fontId="4" fillId="8" borderId="0" xfId="1" applyFont="1" applyFill="1" applyAlignment="1">
      <alignment wrapText="1"/>
    </xf>
    <xf numFmtId="0" fontId="7" fillId="8" borderId="0" xfId="1" applyFont="1" applyFill="1" applyAlignment="1"/>
    <xf numFmtId="0" fontId="13" fillId="8" borderId="0" xfId="1" applyFont="1" applyFill="1" applyAlignment="1"/>
    <xf numFmtId="0" fontId="8" fillId="8" borderId="0" xfId="1" applyFont="1" applyFill="1" applyAlignment="1"/>
    <xf numFmtId="16" fontId="4" fillId="8" borderId="0" xfId="1" applyNumberFormat="1" applyFont="1" applyFill="1" applyAlignment="1"/>
    <xf numFmtId="4" fontId="7" fillId="8" borderId="0" xfId="1" applyNumberFormat="1" applyFont="1" applyFill="1" applyAlignment="1">
      <alignment horizontal="center"/>
    </xf>
    <xf numFmtId="0" fontId="7" fillId="8" borderId="0" xfId="1" applyFont="1" applyFill="1" applyAlignment="1">
      <alignment horizontal="center"/>
    </xf>
    <xf numFmtId="4" fontId="11" fillId="8" borderId="0" xfId="1" applyNumberFormat="1" applyFont="1" applyFill="1" applyAlignment="1"/>
    <xf numFmtId="0" fontId="11" fillId="8" borderId="0" xfId="1" applyFont="1" applyFill="1" applyAlignment="1"/>
    <xf numFmtId="4" fontId="10" fillId="8" borderId="0" xfId="1" applyNumberFormat="1" applyFont="1" applyFill="1" applyAlignment="1"/>
    <xf numFmtId="0" fontId="10" fillId="8" borderId="0" xfId="1" applyFont="1" applyFill="1" applyAlignment="1"/>
    <xf numFmtId="4" fontId="6" fillId="8" borderId="0" xfId="1" applyNumberFormat="1" applyFont="1" applyFill="1" applyAlignment="1"/>
    <xf numFmtId="0" fontId="6" fillId="8" borderId="0" xfId="1" applyFont="1" applyFill="1" applyAlignment="1"/>
    <xf numFmtId="4" fontId="8" fillId="8" borderId="0" xfId="1" applyNumberFormat="1" applyFont="1" applyFill="1" applyAlignment="1">
      <alignment horizontal="center"/>
    </xf>
    <xf numFmtId="0" fontId="8" fillId="8" borderId="0" xfId="1" applyFont="1" applyFill="1" applyAlignment="1">
      <alignment horizontal="center"/>
    </xf>
    <xf numFmtId="4" fontId="4" fillId="3" borderId="0" xfId="1" applyNumberFormat="1" applyFont="1" applyFill="1" applyAlignment="1"/>
    <xf numFmtId="0" fontId="4" fillId="3" borderId="6" xfId="1" applyFont="1" applyFill="1" applyBorder="1" applyAlignment="1">
      <alignment vertical="center" wrapText="1"/>
    </xf>
    <xf numFmtId="0" fontId="4" fillId="3" borderId="0" xfId="1" applyFont="1" applyFill="1" applyAlignment="1"/>
    <xf numFmtId="4" fontId="13" fillId="3" borderId="0" xfId="1" applyNumberFormat="1" applyFont="1" applyFill="1" applyAlignment="1"/>
    <xf numFmtId="0" fontId="13" fillId="3" borderId="0" xfId="1" applyFont="1" applyFill="1" applyAlignment="1"/>
    <xf numFmtId="4" fontId="8" fillId="3" borderId="13" xfId="1" applyNumberFormat="1" applyFont="1" applyFill="1" applyBorder="1" applyAlignment="1" applyProtection="1">
      <alignment horizontal="right"/>
      <protection locked="0"/>
    </xf>
    <xf numFmtId="4" fontId="7" fillId="5" borderId="7" xfId="1" applyNumberFormat="1" applyFont="1" applyFill="1" applyBorder="1" applyAlignment="1"/>
    <xf numFmtId="49" fontId="23" fillId="2" borderId="7" xfId="1" applyNumberFormat="1" applyFont="1" applyFill="1" applyBorder="1" applyAlignment="1">
      <alignment horizontal="center"/>
    </xf>
    <xf numFmtId="4" fontId="14" fillId="3" borderId="7" xfId="1" applyNumberFormat="1" applyFont="1" applyFill="1" applyBorder="1" applyAlignment="1">
      <alignment horizontal="right"/>
    </xf>
    <xf numFmtId="1" fontId="6" fillId="8" borderId="7" xfId="1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vertical="top" wrapText="1"/>
    </xf>
    <xf numFmtId="4" fontId="4" fillId="9" borderId="7" xfId="1" applyNumberFormat="1" applyFont="1" applyFill="1" applyBorder="1" applyAlignment="1"/>
    <xf numFmtId="49" fontId="11" fillId="0" borderId="7" xfId="1" applyNumberFormat="1" applyFont="1" applyFill="1" applyBorder="1" applyAlignment="1">
      <alignment horizontal="center" wrapText="1"/>
    </xf>
    <xf numFmtId="4" fontId="7" fillId="0" borderId="10" xfId="1" applyNumberFormat="1" applyFont="1" applyFill="1" applyBorder="1" applyAlignment="1">
      <alignment horizontal="right"/>
    </xf>
    <xf numFmtId="4" fontId="13" fillId="0" borderId="10" xfId="1" applyNumberFormat="1" applyFont="1" applyFill="1" applyBorder="1" applyAlignment="1"/>
    <xf numFmtId="4" fontId="4" fillId="0" borderId="10" xfId="1" applyNumberFormat="1" applyFont="1" applyFill="1" applyBorder="1" applyAlignment="1"/>
    <xf numFmtId="4" fontId="4" fillId="3" borderId="10" xfId="1" applyNumberFormat="1" applyFont="1" applyFill="1" applyBorder="1" applyAlignment="1"/>
    <xf numFmtId="0" fontId="1" fillId="3" borderId="0" xfId="0" applyFont="1" applyFill="1" applyAlignment="1">
      <alignment horizontal="left" wrapText="1"/>
    </xf>
    <xf numFmtId="4" fontId="6" fillId="2" borderId="0" xfId="1" applyNumberFormat="1" applyFont="1" applyFill="1" applyAlignment="1">
      <alignment horizontal="center"/>
    </xf>
    <xf numFmtId="4" fontId="7" fillId="3" borderId="8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4" fontId="7" fillId="0" borderId="7" xfId="1" applyNumberFormat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/>
    </xf>
    <xf numFmtId="4" fontId="7" fillId="0" borderId="8" xfId="1" applyNumberFormat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11" fillId="3" borderId="7" xfId="1" applyNumberFormat="1" applyFont="1" applyFill="1" applyBorder="1" applyAlignment="1">
      <alignment horizontal="right"/>
    </xf>
    <xf numFmtId="4" fontId="9" fillId="3" borderId="7" xfId="1" applyNumberFormat="1" applyFont="1" applyFill="1" applyBorder="1" applyAlignment="1">
      <alignment horizontal="right"/>
    </xf>
    <xf numFmtId="4" fontId="7" fillId="3" borderId="7" xfId="1" applyNumberFormat="1" applyFont="1" applyFill="1" applyBorder="1" applyAlignment="1">
      <alignment horizontal="right"/>
    </xf>
    <xf numFmtId="4" fontId="8" fillId="3" borderId="7" xfId="1" applyNumberFormat="1" applyFont="1" applyFill="1" applyBorder="1" applyAlignment="1" applyProtection="1">
      <alignment horizontal="right"/>
      <protection locked="0"/>
    </xf>
    <xf numFmtId="4" fontId="7" fillId="3" borderId="7" xfId="1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5" fillId="2" borderId="0" xfId="0" applyFont="1" applyFill="1" applyBorder="1" applyAlignment="1">
      <alignment horizontal="center" vertical="center" wrapText="1"/>
    </xf>
    <xf numFmtId="4" fontId="6" fillId="2" borderId="0" xfId="1" applyNumberFormat="1" applyFont="1" applyFill="1" applyAlignment="1">
      <alignment horizontal="center"/>
    </xf>
    <xf numFmtId="4" fontId="6" fillId="2" borderId="0" xfId="1" applyNumberFormat="1" applyFont="1" applyFill="1" applyAlignment="1">
      <alignment horizontal="center" vertical="center"/>
    </xf>
    <xf numFmtId="4" fontId="7" fillId="3" borderId="5" xfId="1" applyNumberFormat="1" applyFont="1" applyFill="1" applyBorder="1" applyAlignment="1">
      <alignment horizontal="center" vertical="center" wrapText="1"/>
    </xf>
    <xf numFmtId="4" fontId="7" fillId="3" borderId="8" xfId="1" applyNumberFormat="1" applyFont="1" applyFill="1" applyBorder="1" applyAlignment="1">
      <alignment horizontal="center" vertical="center" wrapText="1"/>
    </xf>
    <xf numFmtId="4" fontId="9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4" fontId="23" fillId="2" borderId="0" xfId="1" applyNumberFormat="1" applyFont="1" applyFill="1" applyAlignment="1">
      <alignment horizontal="center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/>
    </xf>
    <xf numFmtId="4" fontId="6" fillId="2" borderId="0" xfId="1" applyNumberFormat="1" applyFont="1" applyFill="1" applyBorder="1" applyAlignment="1">
      <alignment horizontal="center"/>
    </xf>
    <xf numFmtId="4" fontId="11" fillId="2" borderId="0" xfId="1" applyNumberFormat="1" applyFont="1" applyFill="1" applyAlignment="1">
      <alignment horizontal="center"/>
    </xf>
    <xf numFmtId="4" fontId="11" fillId="2" borderId="0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4" fontId="7" fillId="8" borderId="14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8" xfId="1" applyNumberFormat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4" fontId="7" fillId="3" borderId="8" xfId="1" applyNumberFormat="1" applyFont="1" applyFill="1" applyBorder="1" applyAlignment="1">
      <alignment horizontal="right" vertical="center" wrapText="1"/>
    </xf>
    <xf numFmtId="0" fontId="6" fillId="8" borderId="0" xfId="1" applyFont="1" applyFill="1" applyAlignment="1">
      <alignment horizontal="center"/>
    </xf>
    <xf numFmtId="0" fontId="4" fillId="8" borderId="0" xfId="1" applyFont="1" applyFill="1" applyAlignment="1">
      <alignment horizontal="center"/>
    </xf>
    <xf numFmtId="4" fontId="4" fillId="3" borderId="0" xfId="1" applyNumberFormat="1" applyFont="1" applyFill="1" applyAlignment="1">
      <alignment horizontal="right"/>
    </xf>
    <xf numFmtId="4" fontId="12" fillId="3" borderId="0" xfId="1" applyNumberFormat="1" applyFont="1" applyFill="1" applyAlignment="1"/>
    <xf numFmtId="4" fontId="6" fillId="8" borderId="0" xfId="1" applyNumberFormat="1" applyFont="1" applyFill="1" applyAlignment="1">
      <alignment horizontal="center"/>
    </xf>
    <xf numFmtId="4" fontId="4" fillId="8" borderId="0" xfId="1" applyNumberFormat="1" applyFont="1" applyFill="1" applyAlignment="1">
      <alignment horizontal="center"/>
    </xf>
    <xf numFmtId="4" fontId="4" fillId="8" borderId="0" xfId="1" applyNumberFormat="1" applyFont="1" applyFill="1" applyAlignment="1">
      <alignment horizontal="right"/>
    </xf>
    <xf numFmtId="4" fontId="6" fillId="8" borderId="0" xfId="1" applyNumberFormat="1" applyFont="1" applyFill="1" applyAlignment="1">
      <alignment horizontal="center" vertical="center"/>
    </xf>
    <xf numFmtId="4" fontId="6" fillId="8" borderId="0" xfId="1" applyNumberFormat="1" applyFont="1" applyFill="1" applyAlignment="1">
      <alignment horizontal="center" vertical="center"/>
    </xf>
    <xf numFmtId="4" fontId="20" fillId="8" borderId="0" xfId="1" applyNumberFormat="1" applyFont="1" applyFill="1" applyAlignment="1">
      <alignment horizontal="center" vertical="center"/>
    </xf>
    <xf numFmtId="4" fontId="5" fillId="8" borderId="0" xfId="1" applyNumberFormat="1" applyFont="1" applyFill="1" applyAlignment="1">
      <alignment horizontal="center" vertical="center"/>
    </xf>
    <xf numFmtId="4" fontId="5" fillId="3" borderId="0" xfId="1" applyNumberFormat="1" applyFont="1" applyFill="1" applyAlignment="1">
      <alignment horizontal="center" vertical="center"/>
    </xf>
    <xf numFmtId="0" fontId="5" fillId="3" borderId="0" xfId="1" applyFont="1" applyFill="1" applyAlignment="1"/>
    <xf numFmtId="0" fontId="5" fillId="8" borderId="0" xfId="1" applyFont="1" applyFill="1" applyAlignment="1"/>
    <xf numFmtId="4" fontId="22" fillId="8" borderId="0" xfId="1" applyNumberFormat="1" applyFont="1" applyFill="1" applyAlignment="1">
      <alignment horizontal="right"/>
    </xf>
    <xf numFmtId="0" fontId="20" fillId="8" borderId="0" xfId="1" applyFont="1" applyFill="1" applyAlignment="1"/>
    <xf numFmtId="4" fontId="9" fillId="8" borderId="0" xfId="1" applyNumberFormat="1" applyFont="1" applyFill="1" applyAlignment="1">
      <alignment horizontal="center" vertical="center"/>
    </xf>
    <xf numFmtId="4" fontId="9" fillId="3" borderId="0" xfId="1" applyNumberFormat="1" applyFont="1" applyFill="1" applyAlignment="1">
      <alignment horizontal="center" vertical="center"/>
    </xf>
    <xf numFmtId="0" fontId="8" fillId="3" borderId="0" xfId="1" applyFont="1" applyFill="1" applyAlignment="1"/>
    <xf numFmtId="0" fontId="8" fillId="8" borderId="0" xfId="1" applyFont="1" applyFill="1" applyAlignment="1">
      <alignment horizontal="right"/>
    </xf>
    <xf numFmtId="0" fontId="4" fillId="8" borderId="0" xfId="1" applyFont="1" applyFill="1" applyAlignment="1">
      <alignment horizontal="right"/>
    </xf>
    <xf numFmtId="4" fontId="11" fillId="8" borderId="0" xfId="1" applyNumberFormat="1" applyFont="1" applyFill="1" applyAlignment="1">
      <alignment horizontal="center"/>
    </xf>
    <xf numFmtId="0" fontId="11" fillId="8" borderId="0" xfId="1" applyFont="1" applyFill="1" applyAlignment="1">
      <alignment horizontal="center"/>
    </xf>
    <xf numFmtId="4" fontId="7" fillId="3" borderId="0" xfId="1" applyNumberFormat="1" applyFont="1" applyFill="1" applyAlignment="1"/>
    <xf numFmtId="0" fontId="7" fillId="3" borderId="0" xfId="1" applyFont="1" applyFill="1" applyAlignment="1"/>
    <xf numFmtId="0" fontId="7" fillId="8" borderId="0" xfId="1" applyFont="1" applyFill="1" applyAlignment="1">
      <alignment horizontal="right"/>
    </xf>
    <xf numFmtId="4" fontId="7" fillId="8" borderId="0" xfId="1" applyNumberFormat="1" applyFont="1" applyFill="1" applyAlignment="1">
      <alignment horizontal="right"/>
    </xf>
  </cellXfs>
  <cellStyles count="4">
    <cellStyle name="Обычный" xfId="0" builtinId="0"/>
    <cellStyle name="Обычный 2" xfId="2"/>
    <cellStyle name="Обычный 3" xfId="3"/>
    <cellStyle name="Обычный_форма к бюджету 200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5"/>
  <sheetViews>
    <sheetView tabSelected="1" topLeftCell="A536" workbookViewId="0">
      <selection activeCell="AF587" sqref="AF587"/>
    </sheetView>
  </sheetViews>
  <sheetFormatPr defaultColWidth="13.140625" defaultRowHeight="12.75" x14ac:dyDescent="0.2"/>
  <cols>
    <col min="1" max="1" width="41.5703125" style="2" customWidth="1"/>
    <col min="2" max="2" width="7.5703125" style="390" customWidth="1"/>
    <col min="3" max="3" width="7" style="390" customWidth="1"/>
    <col min="4" max="4" width="13.140625" style="390" customWidth="1"/>
    <col min="5" max="5" width="4.5703125" style="248" customWidth="1"/>
    <col min="6" max="6" width="11.28515625" style="390" bestFit="1" customWidth="1"/>
    <col min="7" max="7" width="10.28515625" style="390" customWidth="1"/>
    <col min="8" max="8" width="13.85546875" style="249" hidden="1" customWidth="1"/>
    <col min="9" max="10" width="13.5703125" style="250" hidden="1" customWidth="1"/>
    <col min="11" max="14" width="13.5703125" style="2" hidden="1" customWidth="1"/>
    <col min="15" max="15" width="9.140625" style="2" hidden="1" customWidth="1"/>
    <col min="16" max="16" width="16.42578125" style="251" hidden="1" customWidth="1"/>
    <col min="17" max="18" width="16.42578125" style="2" hidden="1" customWidth="1"/>
    <col min="19" max="19" width="17.140625" style="2" hidden="1" customWidth="1"/>
    <col min="20" max="22" width="16.42578125" style="2" hidden="1" customWidth="1"/>
    <col min="23" max="23" width="16.42578125" style="2" customWidth="1"/>
    <col min="24" max="24" width="13.85546875" style="43" hidden="1" customWidth="1"/>
    <col min="25" max="25" width="14.140625" style="43" hidden="1" customWidth="1"/>
    <col min="26" max="26" width="0" style="2" hidden="1" customWidth="1"/>
    <col min="27" max="27" width="16" style="2" hidden="1" customWidth="1"/>
    <col min="28" max="28" width="13.42578125" style="2" hidden="1" customWidth="1"/>
    <col min="29" max="259" width="13.140625" style="2"/>
    <col min="260" max="260" width="41.5703125" style="2" customWidth="1"/>
    <col min="261" max="261" width="7.42578125" style="2" customWidth="1"/>
    <col min="262" max="262" width="7" style="2" customWidth="1"/>
    <col min="263" max="263" width="13.140625" style="2" customWidth="1"/>
    <col min="264" max="264" width="4.5703125" style="2" customWidth="1"/>
    <col min="265" max="265" width="6" style="2" customWidth="1"/>
    <col min="266" max="266" width="8.85546875" style="2" customWidth="1"/>
    <col min="267" max="274" width="0" style="2" hidden="1" customWidth="1"/>
    <col min="275" max="275" width="16.42578125" style="2" customWidth="1"/>
    <col min="276" max="279" width="0" style="2" hidden="1" customWidth="1"/>
    <col min="280" max="280" width="13.42578125" style="2" bestFit="1" customWidth="1"/>
    <col min="281" max="515" width="13.140625" style="2"/>
    <col min="516" max="516" width="41.5703125" style="2" customWidth="1"/>
    <col min="517" max="517" width="7.42578125" style="2" customWidth="1"/>
    <col min="518" max="518" width="7" style="2" customWidth="1"/>
    <col min="519" max="519" width="13.140625" style="2" customWidth="1"/>
    <col min="520" max="520" width="4.5703125" style="2" customWidth="1"/>
    <col min="521" max="521" width="6" style="2" customWidth="1"/>
    <col min="522" max="522" width="8.85546875" style="2" customWidth="1"/>
    <col min="523" max="530" width="0" style="2" hidden="1" customWidth="1"/>
    <col min="531" max="531" width="16.42578125" style="2" customWidth="1"/>
    <col min="532" max="535" width="0" style="2" hidden="1" customWidth="1"/>
    <col min="536" max="536" width="13.42578125" style="2" bestFit="1" customWidth="1"/>
    <col min="537" max="771" width="13.140625" style="2"/>
    <col min="772" max="772" width="41.5703125" style="2" customWidth="1"/>
    <col min="773" max="773" width="7.42578125" style="2" customWidth="1"/>
    <col min="774" max="774" width="7" style="2" customWidth="1"/>
    <col min="775" max="775" width="13.140625" style="2" customWidth="1"/>
    <col min="776" max="776" width="4.5703125" style="2" customWidth="1"/>
    <col min="777" max="777" width="6" style="2" customWidth="1"/>
    <col min="778" max="778" width="8.85546875" style="2" customWidth="1"/>
    <col min="779" max="786" width="0" style="2" hidden="1" customWidth="1"/>
    <col min="787" max="787" width="16.42578125" style="2" customWidth="1"/>
    <col min="788" max="791" width="0" style="2" hidden="1" customWidth="1"/>
    <col min="792" max="792" width="13.42578125" style="2" bestFit="1" customWidth="1"/>
    <col min="793" max="1027" width="13.140625" style="2"/>
    <col min="1028" max="1028" width="41.5703125" style="2" customWidth="1"/>
    <col min="1029" max="1029" width="7.42578125" style="2" customWidth="1"/>
    <col min="1030" max="1030" width="7" style="2" customWidth="1"/>
    <col min="1031" max="1031" width="13.140625" style="2" customWidth="1"/>
    <col min="1032" max="1032" width="4.5703125" style="2" customWidth="1"/>
    <col min="1033" max="1033" width="6" style="2" customWidth="1"/>
    <col min="1034" max="1034" width="8.85546875" style="2" customWidth="1"/>
    <col min="1035" max="1042" width="0" style="2" hidden="1" customWidth="1"/>
    <col min="1043" max="1043" width="16.42578125" style="2" customWidth="1"/>
    <col min="1044" max="1047" width="0" style="2" hidden="1" customWidth="1"/>
    <col min="1048" max="1048" width="13.42578125" style="2" bestFit="1" customWidth="1"/>
    <col min="1049" max="1283" width="13.140625" style="2"/>
    <col min="1284" max="1284" width="41.5703125" style="2" customWidth="1"/>
    <col min="1285" max="1285" width="7.42578125" style="2" customWidth="1"/>
    <col min="1286" max="1286" width="7" style="2" customWidth="1"/>
    <col min="1287" max="1287" width="13.140625" style="2" customWidth="1"/>
    <col min="1288" max="1288" width="4.5703125" style="2" customWidth="1"/>
    <col min="1289" max="1289" width="6" style="2" customWidth="1"/>
    <col min="1290" max="1290" width="8.85546875" style="2" customWidth="1"/>
    <col min="1291" max="1298" width="0" style="2" hidden="1" customWidth="1"/>
    <col min="1299" max="1299" width="16.42578125" style="2" customWidth="1"/>
    <col min="1300" max="1303" width="0" style="2" hidden="1" customWidth="1"/>
    <col min="1304" max="1304" width="13.42578125" style="2" bestFit="1" customWidth="1"/>
    <col min="1305" max="1539" width="13.140625" style="2"/>
    <col min="1540" max="1540" width="41.5703125" style="2" customWidth="1"/>
    <col min="1541" max="1541" width="7.42578125" style="2" customWidth="1"/>
    <col min="1542" max="1542" width="7" style="2" customWidth="1"/>
    <col min="1543" max="1543" width="13.140625" style="2" customWidth="1"/>
    <col min="1544" max="1544" width="4.5703125" style="2" customWidth="1"/>
    <col min="1545" max="1545" width="6" style="2" customWidth="1"/>
    <col min="1546" max="1546" width="8.85546875" style="2" customWidth="1"/>
    <col min="1547" max="1554" width="0" style="2" hidden="1" customWidth="1"/>
    <col min="1555" max="1555" width="16.42578125" style="2" customWidth="1"/>
    <col min="1556" max="1559" width="0" style="2" hidden="1" customWidth="1"/>
    <col min="1560" max="1560" width="13.42578125" style="2" bestFit="1" customWidth="1"/>
    <col min="1561" max="1795" width="13.140625" style="2"/>
    <col min="1796" max="1796" width="41.5703125" style="2" customWidth="1"/>
    <col min="1797" max="1797" width="7.42578125" style="2" customWidth="1"/>
    <col min="1798" max="1798" width="7" style="2" customWidth="1"/>
    <col min="1799" max="1799" width="13.140625" style="2" customWidth="1"/>
    <col min="1800" max="1800" width="4.5703125" style="2" customWidth="1"/>
    <col min="1801" max="1801" width="6" style="2" customWidth="1"/>
    <col min="1802" max="1802" width="8.85546875" style="2" customWidth="1"/>
    <col min="1803" max="1810" width="0" style="2" hidden="1" customWidth="1"/>
    <col min="1811" max="1811" width="16.42578125" style="2" customWidth="1"/>
    <col min="1812" max="1815" width="0" style="2" hidden="1" customWidth="1"/>
    <col min="1816" max="1816" width="13.42578125" style="2" bestFit="1" customWidth="1"/>
    <col min="1817" max="2051" width="13.140625" style="2"/>
    <col min="2052" max="2052" width="41.5703125" style="2" customWidth="1"/>
    <col min="2053" max="2053" width="7.42578125" style="2" customWidth="1"/>
    <col min="2054" max="2054" width="7" style="2" customWidth="1"/>
    <col min="2055" max="2055" width="13.140625" style="2" customWidth="1"/>
    <col min="2056" max="2056" width="4.5703125" style="2" customWidth="1"/>
    <col min="2057" max="2057" width="6" style="2" customWidth="1"/>
    <col min="2058" max="2058" width="8.85546875" style="2" customWidth="1"/>
    <col min="2059" max="2066" width="0" style="2" hidden="1" customWidth="1"/>
    <col min="2067" max="2067" width="16.42578125" style="2" customWidth="1"/>
    <col min="2068" max="2071" width="0" style="2" hidden="1" customWidth="1"/>
    <col min="2072" max="2072" width="13.42578125" style="2" bestFit="1" customWidth="1"/>
    <col min="2073" max="2307" width="13.140625" style="2"/>
    <col min="2308" max="2308" width="41.5703125" style="2" customWidth="1"/>
    <col min="2309" max="2309" width="7.42578125" style="2" customWidth="1"/>
    <col min="2310" max="2310" width="7" style="2" customWidth="1"/>
    <col min="2311" max="2311" width="13.140625" style="2" customWidth="1"/>
    <col min="2312" max="2312" width="4.5703125" style="2" customWidth="1"/>
    <col min="2313" max="2313" width="6" style="2" customWidth="1"/>
    <col min="2314" max="2314" width="8.85546875" style="2" customWidth="1"/>
    <col min="2315" max="2322" width="0" style="2" hidden="1" customWidth="1"/>
    <col min="2323" max="2323" width="16.42578125" style="2" customWidth="1"/>
    <col min="2324" max="2327" width="0" style="2" hidden="1" customWidth="1"/>
    <col min="2328" max="2328" width="13.42578125" style="2" bestFit="1" customWidth="1"/>
    <col min="2329" max="2563" width="13.140625" style="2"/>
    <col min="2564" max="2564" width="41.5703125" style="2" customWidth="1"/>
    <col min="2565" max="2565" width="7.42578125" style="2" customWidth="1"/>
    <col min="2566" max="2566" width="7" style="2" customWidth="1"/>
    <col min="2567" max="2567" width="13.140625" style="2" customWidth="1"/>
    <col min="2568" max="2568" width="4.5703125" style="2" customWidth="1"/>
    <col min="2569" max="2569" width="6" style="2" customWidth="1"/>
    <col min="2570" max="2570" width="8.85546875" style="2" customWidth="1"/>
    <col min="2571" max="2578" width="0" style="2" hidden="1" customWidth="1"/>
    <col min="2579" max="2579" width="16.42578125" style="2" customWidth="1"/>
    <col min="2580" max="2583" width="0" style="2" hidden="1" customWidth="1"/>
    <col min="2584" max="2584" width="13.42578125" style="2" bestFit="1" customWidth="1"/>
    <col min="2585" max="2819" width="13.140625" style="2"/>
    <col min="2820" max="2820" width="41.5703125" style="2" customWidth="1"/>
    <col min="2821" max="2821" width="7.42578125" style="2" customWidth="1"/>
    <col min="2822" max="2822" width="7" style="2" customWidth="1"/>
    <col min="2823" max="2823" width="13.140625" style="2" customWidth="1"/>
    <col min="2824" max="2824" width="4.5703125" style="2" customWidth="1"/>
    <col min="2825" max="2825" width="6" style="2" customWidth="1"/>
    <col min="2826" max="2826" width="8.85546875" style="2" customWidth="1"/>
    <col min="2827" max="2834" width="0" style="2" hidden="1" customWidth="1"/>
    <col min="2835" max="2835" width="16.42578125" style="2" customWidth="1"/>
    <col min="2836" max="2839" width="0" style="2" hidden="1" customWidth="1"/>
    <col min="2840" max="2840" width="13.42578125" style="2" bestFit="1" customWidth="1"/>
    <col min="2841" max="3075" width="13.140625" style="2"/>
    <col min="3076" max="3076" width="41.5703125" style="2" customWidth="1"/>
    <col min="3077" max="3077" width="7.42578125" style="2" customWidth="1"/>
    <col min="3078" max="3078" width="7" style="2" customWidth="1"/>
    <col min="3079" max="3079" width="13.140625" style="2" customWidth="1"/>
    <col min="3080" max="3080" width="4.5703125" style="2" customWidth="1"/>
    <col min="3081" max="3081" width="6" style="2" customWidth="1"/>
    <col min="3082" max="3082" width="8.85546875" style="2" customWidth="1"/>
    <col min="3083" max="3090" width="0" style="2" hidden="1" customWidth="1"/>
    <col min="3091" max="3091" width="16.42578125" style="2" customWidth="1"/>
    <col min="3092" max="3095" width="0" style="2" hidden="1" customWidth="1"/>
    <col min="3096" max="3096" width="13.42578125" style="2" bestFit="1" customWidth="1"/>
    <col min="3097" max="3331" width="13.140625" style="2"/>
    <col min="3332" max="3332" width="41.5703125" style="2" customWidth="1"/>
    <col min="3333" max="3333" width="7.42578125" style="2" customWidth="1"/>
    <col min="3334" max="3334" width="7" style="2" customWidth="1"/>
    <col min="3335" max="3335" width="13.140625" style="2" customWidth="1"/>
    <col min="3336" max="3336" width="4.5703125" style="2" customWidth="1"/>
    <col min="3337" max="3337" width="6" style="2" customWidth="1"/>
    <col min="3338" max="3338" width="8.85546875" style="2" customWidth="1"/>
    <col min="3339" max="3346" width="0" style="2" hidden="1" customWidth="1"/>
    <col min="3347" max="3347" width="16.42578125" style="2" customWidth="1"/>
    <col min="3348" max="3351" width="0" style="2" hidden="1" customWidth="1"/>
    <col min="3352" max="3352" width="13.42578125" style="2" bestFit="1" customWidth="1"/>
    <col min="3353" max="3587" width="13.140625" style="2"/>
    <col min="3588" max="3588" width="41.5703125" style="2" customWidth="1"/>
    <col min="3589" max="3589" width="7.42578125" style="2" customWidth="1"/>
    <col min="3590" max="3590" width="7" style="2" customWidth="1"/>
    <col min="3591" max="3591" width="13.140625" style="2" customWidth="1"/>
    <col min="3592" max="3592" width="4.5703125" style="2" customWidth="1"/>
    <col min="3593" max="3593" width="6" style="2" customWidth="1"/>
    <col min="3594" max="3594" width="8.85546875" style="2" customWidth="1"/>
    <col min="3595" max="3602" width="0" style="2" hidden="1" customWidth="1"/>
    <col min="3603" max="3603" width="16.42578125" style="2" customWidth="1"/>
    <col min="3604" max="3607" width="0" style="2" hidden="1" customWidth="1"/>
    <col min="3608" max="3608" width="13.42578125" style="2" bestFit="1" customWidth="1"/>
    <col min="3609" max="3843" width="13.140625" style="2"/>
    <col min="3844" max="3844" width="41.5703125" style="2" customWidth="1"/>
    <col min="3845" max="3845" width="7.42578125" style="2" customWidth="1"/>
    <col min="3846" max="3846" width="7" style="2" customWidth="1"/>
    <col min="3847" max="3847" width="13.140625" style="2" customWidth="1"/>
    <col min="3848" max="3848" width="4.5703125" style="2" customWidth="1"/>
    <col min="3849" max="3849" width="6" style="2" customWidth="1"/>
    <col min="3850" max="3850" width="8.85546875" style="2" customWidth="1"/>
    <col min="3851" max="3858" width="0" style="2" hidden="1" customWidth="1"/>
    <col min="3859" max="3859" width="16.42578125" style="2" customWidth="1"/>
    <col min="3860" max="3863" width="0" style="2" hidden="1" customWidth="1"/>
    <col min="3864" max="3864" width="13.42578125" style="2" bestFit="1" customWidth="1"/>
    <col min="3865" max="4099" width="13.140625" style="2"/>
    <col min="4100" max="4100" width="41.5703125" style="2" customWidth="1"/>
    <col min="4101" max="4101" width="7.42578125" style="2" customWidth="1"/>
    <col min="4102" max="4102" width="7" style="2" customWidth="1"/>
    <col min="4103" max="4103" width="13.140625" style="2" customWidth="1"/>
    <col min="4104" max="4104" width="4.5703125" style="2" customWidth="1"/>
    <col min="4105" max="4105" width="6" style="2" customWidth="1"/>
    <col min="4106" max="4106" width="8.85546875" style="2" customWidth="1"/>
    <col min="4107" max="4114" width="0" style="2" hidden="1" customWidth="1"/>
    <col min="4115" max="4115" width="16.42578125" style="2" customWidth="1"/>
    <col min="4116" max="4119" width="0" style="2" hidden="1" customWidth="1"/>
    <col min="4120" max="4120" width="13.42578125" style="2" bestFit="1" customWidth="1"/>
    <col min="4121" max="4355" width="13.140625" style="2"/>
    <col min="4356" max="4356" width="41.5703125" style="2" customWidth="1"/>
    <col min="4357" max="4357" width="7.42578125" style="2" customWidth="1"/>
    <col min="4358" max="4358" width="7" style="2" customWidth="1"/>
    <col min="4359" max="4359" width="13.140625" style="2" customWidth="1"/>
    <col min="4360" max="4360" width="4.5703125" style="2" customWidth="1"/>
    <col min="4361" max="4361" width="6" style="2" customWidth="1"/>
    <col min="4362" max="4362" width="8.85546875" style="2" customWidth="1"/>
    <col min="4363" max="4370" width="0" style="2" hidden="1" customWidth="1"/>
    <col min="4371" max="4371" width="16.42578125" style="2" customWidth="1"/>
    <col min="4372" max="4375" width="0" style="2" hidden="1" customWidth="1"/>
    <col min="4376" max="4376" width="13.42578125" style="2" bestFit="1" customWidth="1"/>
    <col min="4377" max="4611" width="13.140625" style="2"/>
    <col min="4612" max="4612" width="41.5703125" style="2" customWidth="1"/>
    <col min="4613" max="4613" width="7.42578125" style="2" customWidth="1"/>
    <col min="4614" max="4614" width="7" style="2" customWidth="1"/>
    <col min="4615" max="4615" width="13.140625" style="2" customWidth="1"/>
    <col min="4616" max="4616" width="4.5703125" style="2" customWidth="1"/>
    <col min="4617" max="4617" width="6" style="2" customWidth="1"/>
    <col min="4618" max="4618" width="8.85546875" style="2" customWidth="1"/>
    <col min="4619" max="4626" width="0" style="2" hidden="1" customWidth="1"/>
    <col min="4627" max="4627" width="16.42578125" style="2" customWidth="1"/>
    <col min="4628" max="4631" width="0" style="2" hidden="1" customWidth="1"/>
    <col min="4632" max="4632" width="13.42578125" style="2" bestFit="1" customWidth="1"/>
    <col min="4633" max="4867" width="13.140625" style="2"/>
    <col min="4868" max="4868" width="41.5703125" style="2" customWidth="1"/>
    <col min="4869" max="4869" width="7.42578125" style="2" customWidth="1"/>
    <col min="4870" max="4870" width="7" style="2" customWidth="1"/>
    <col min="4871" max="4871" width="13.140625" style="2" customWidth="1"/>
    <col min="4872" max="4872" width="4.5703125" style="2" customWidth="1"/>
    <col min="4873" max="4873" width="6" style="2" customWidth="1"/>
    <col min="4874" max="4874" width="8.85546875" style="2" customWidth="1"/>
    <col min="4875" max="4882" width="0" style="2" hidden="1" customWidth="1"/>
    <col min="4883" max="4883" width="16.42578125" style="2" customWidth="1"/>
    <col min="4884" max="4887" width="0" style="2" hidden="1" customWidth="1"/>
    <col min="4888" max="4888" width="13.42578125" style="2" bestFit="1" customWidth="1"/>
    <col min="4889" max="5123" width="13.140625" style="2"/>
    <col min="5124" max="5124" width="41.5703125" style="2" customWidth="1"/>
    <col min="5125" max="5125" width="7.42578125" style="2" customWidth="1"/>
    <col min="5126" max="5126" width="7" style="2" customWidth="1"/>
    <col min="5127" max="5127" width="13.140625" style="2" customWidth="1"/>
    <col min="5128" max="5128" width="4.5703125" style="2" customWidth="1"/>
    <col min="5129" max="5129" width="6" style="2" customWidth="1"/>
    <col min="5130" max="5130" width="8.85546875" style="2" customWidth="1"/>
    <col min="5131" max="5138" width="0" style="2" hidden="1" customWidth="1"/>
    <col min="5139" max="5139" width="16.42578125" style="2" customWidth="1"/>
    <col min="5140" max="5143" width="0" style="2" hidden="1" customWidth="1"/>
    <col min="5144" max="5144" width="13.42578125" style="2" bestFit="1" customWidth="1"/>
    <col min="5145" max="5379" width="13.140625" style="2"/>
    <col min="5380" max="5380" width="41.5703125" style="2" customWidth="1"/>
    <col min="5381" max="5381" width="7.42578125" style="2" customWidth="1"/>
    <col min="5382" max="5382" width="7" style="2" customWidth="1"/>
    <col min="5383" max="5383" width="13.140625" style="2" customWidth="1"/>
    <col min="5384" max="5384" width="4.5703125" style="2" customWidth="1"/>
    <col min="5385" max="5385" width="6" style="2" customWidth="1"/>
    <col min="5386" max="5386" width="8.85546875" style="2" customWidth="1"/>
    <col min="5387" max="5394" width="0" style="2" hidden="1" customWidth="1"/>
    <col min="5395" max="5395" width="16.42578125" style="2" customWidth="1"/>
    <col min="5396" max="5399" width="0" style="2" hidden="1" customWidth="1"/>
    <col min="5400" max="5400" width="13.42578125" style="2" bestFit="1" customWidth="1"/>
    <col min="5401" max="5635" width="13.140625" style="2"/>
    <col min="5636" max="5636" width="41.5703125" style="2" customWidth="1"/>
    <col min="5637" max="5637" width="7.42578125" style="2" customWidth="1"/>
    <col min="5638" max="5638" width="7" style="2" customWidth="1"/>
    <col min="5639" max="5639" width="13.140625" style="2" customWidth="1"/>
    <col min="5640" max="5640" width="4.5703125" style="2" customWidth="1"/>
    <col min="5641" max="5641" width="6" style="2" customWidth="1"/>
    <col min="5642" max="5642" width="8.85546875" style="2" customWidth="1"/>
    <col min="5643" max="5650" width="0" style="2" hidden="1" customWidth="1"/>
    <col min="5651" max="5651" width="16.42578125" style="2" customWidth="1"/>
    <col min="5652" max="5655" width="0" style="2" hidden="1" customWidth="1"/>
    <col min="5656" max="5656" width="13.42578125" style="2" bestFit="1" customWidth="1"/>
    <col min="5657" max="5891" width="13.140625" style="2"/>
    <col min="5892" max="5892" width="41.5703125" style="2" customWidth="1"/>
    <col min="5893" max="5893" width="7.42578125" style="2" customWidth="1"/>
    <col min="5894" max="5894" width="7" style="2" customWidth="1"/>
    <col min="5895" max="5895" width="13.140625" style="2" customWidth="1"/>
    <col min="5896" max="5896" width="4.5703125" style="2" customWidth="1"/>
    <col min="5897" max="5897" width="6" style="2" customWidth="1"/>
    <col min="5898" max="5898" width="8.85546875" style="2" customWidth="1"/>
    <col min="5899" max="5906" width="0" style="2" hidden="1" customWidth="1"/>
    <col min="5907" max="5907" width="16.42578125" style="2" customWidth="1"/>
    <col min="5908" max="5911" width="0" style="2" hidden="1" customWidth="1"/>
    <col min="5912" max="5912" width="13.42578125" style="2" bestFit="1" customWidth="1"/>
    <col min="5913" max="6147" width="13.140625" style="2"/>
    <col min="6148" max="6148" width="41.5703125" style="2" customWidth="1"/>
    <col min="6149" max="6149" width="7.42578125" style="2" customWidth="1"/>
    <col min="6150" max="6150" width="7" style="2" customWidth="1"/>
    <col min="6151" max="6151" width="13.140625" style="2" customWidth="1"/>
    <col min="6152" max="6152" width="4.5703125" style="2" customWidth="1"/>
    <col min="6153" max="6153" width="6" style="2" customWidth="1"/>
    <col min="6154" max="6154" width="8.85546875" style="2" customWidth="1"/>
    <col min="6155" max="6162" width="0" style="2" hidden="1" customWidth="1"/>
    <col min="6163" max="6163" width="16.42578125" style="2" customWidth="1"/>
    <col min="6164" max="6167" width="0" style="2" hidden="1" customWidth="1"/>
    <col min="6168" max="6168" width="13.42578125" style="2" bestFit="1" customWidth="1"/>
    <col min="6169" max="6403" width="13.140625" style="2"/>
    <col min="6404" max="6404" width="41.5703125" style="2" customWidth="1"/>
    <col min="6405" max="6405" width="7.42578125" style="2" customWidth="1"/>
    <col min="6406" max="6406" width="7" style="2" customWidth="1"/>
    <col min="6407" max="6407" width="13.140625" style="2" customWidth="1"/>
    <col min="6408" max="6408" width="4.5703125" style="2" customWidth="1"/>
    <col min="6409" max="6409" width="6" style="2" customWidth="1"/>
    <col min="6410" max="6410" width="8.85546875" style="2" customWidth="1"/>
    <col min="6411" max="6418" width="0" style="2" hidden="1" customWidth="1"/>
    <col min="6419" max="6419" width="16.42578125" style="2" customWidth="1"/>
    <col min="6420" max="6423" width="0" style="2" hidden="1" customWidth="1"/>
    <col min="6424" max="6424" width="13.42578125" style="2" bestFit="1" customWidth="1"/>
    <col min="6425" max="6659" width="13.140625" style="2"/>
    <col min="6660" max="6660" width="41.5703125" style="2" customWidth="1"/>
    <col min="6661" max="6661" width="7.42578125" style="2" customWidth="1"/>
    <col min="6662" max="6662" width="7" style="2" customWidth="1"/>
    <col min="6663" max="6663" width="13.140625" style="2" customWidth="1"/>
    <col min="6664" max="6664" width="4.5703125" style="2" customWidth="1"/>
    <col min="6665" max="6665" width="6" style="2" customWidth="1"/>
    <col min="6666" max="6666" width="8.85546875" style="2" customWidth="1"/>
    <col min="6667" max="6674" width="0" style="2" hidden="1" customWidth="1"/>
    <col min="6675" max="6675" width="16.42578125" style="2" customWidth="1"/>
    <col min="6676" max="6679" width="0" style="2" hidden="1" customWidth="1"/>
    <col min="6680" max="6680" width="13.42578125" style="2" bestFit="1" customWidth="1"/>
    <col min="6681" max="6915" width="13.140625" style="2"/>
    <col min="6916" max="6916" width="41.5703125" style="2" customWidth="1"/>
    <col min="6917" max="6917" width="7.42578125" style="2" customWidth="1"/>
    <col min="6918" max="6918" width="7" style="2" customWidth="1"/>
    <col min="6919" max="6919" width="13.140625" style="2" customWidth="1"/>
    <col min="6920" max="6920" width="4.5703125" style="2" customWidth="1"/>
    <col min="6921" max="6921" width="6" style="2" customWidth="1"/>
    <col min="6922" max="6922" width="8.85546875" style="2" customWidth="1"/>
    <col min="6923" max="6930" width="0" style="2" hidden="1" customWidth="1"/>
    <col min="6931" max="6931" width="16.42578125" style="2" customWidth="1"/>
    <col min="6932" max="6935" width="0" style="2" hidden="1" customWidth="1"/>
    <col min="6936" max="6936" width="13.42578125" style="2" bestFit="1" customWidth="1"/>
    <col min="6937" max="7171" width="13.140625" style="2"/>
    <col min="7172" max="7172" width="41.5703125" style="2" customWidth="1"/>
    <col min="7173" max="7173" width="7.42578125" style="2" customWidth="1"/>
    <col min="7174" max="7174" width="7" style="2" customWidth="1"/>
    <col min="7175" max="7175" width="13.140625" style="2" customWidth="1"/>
    <col min="7176" max="7176" width="4.5703125" style="2" customWidth="1"/>
    <col min="7177" max="7177" width="6" style="2" customWidth="1"/>
    <col min="7178" max="7178" width="8.85546875" style="2" customWidth="1"/>
    <col min="7179" max="7186" width="0" style="2" hidden="1" customWidth="1"/>
    <col min="7187" max="7187" width="16.42578125" style="2" customWidth="1"/>
    <col min="7188" max="7191" width="0" style="2" hidden="1" customWidth="1"/>
    <col min="7192" max="7192" width="13.42578125" style="2" bestFit="1" customWidth="1"/>
    <col min="7193" max="7427" width="13.140625" style="2"/>
    <col min="7428" max="7428" width="41.5703125" style="2" customWidth="1"/>
    <col min="7429" max="7429" width="7.42578125" style="2" customWidth="1"/>
    <col min="7430" max="7430" width="7" style="2" customWidth="1"/>
    <col min="7431" max="7431" width="13.140625" style="2" customWidth="1"/>
    <col min="7432" max="7432" width="4.5703125" style="2" customWidth="1"/>
    <col min="7433" max="7433" width="6" style="2" customWidth="1"/>
    <col min="7434" max="7434" width="8.85546875" style="2" customWidth="1"/>
    <col min="7435" max="7442" width="0" style="2" hidden="1" customWidth="1"/>
    <col min="7443" max="7443" width="16.42578125" style="2" customWidth="1"/>
    <col min="7444" max="7447" width="0" style="2" hidden="1" customWidth="1"/>
    <col min="7448" max="7448" width="13.42578125" style="2" bestFit="1" customWidth="1"/>
    <col min="7449" max="7683" width="13.140625" style="2"/>
    <col min="7684" max="7684" width="41.5703125" style="2" customWidth="1"/>
    <col min="7685" max="7685" width="7.42578125" style="2" customWidth="1"/>
    <col min="7686" max="7686" width="7" style="2" customWidth="1"/>
    <col min="7687" max="7687" width="13.140625" style="2" customWidth="1"/>
    <col min="7688" max="7688" width="4.5703125" style="2" customWidth="1"/>
    <col min="7689" max="7689" width="6" style="2" customWidth="1"/>
    <col min="7690" max="7690" width="8.85546875" style="2" customWidth="1"/>
    <col min="7691" max="7698" width="0" style="2" hidden="1" customWidth="1"/>
    <col min="7699" max="7699" width="16.42578125" style="2" customWidth="1"/>
    <col min="7700" max="7703" width="0" style="2" hidden="1" customWidth="1"/>
    <col min="7704" max="7704" width="13.42578125" style="2" bestFit="1" customWidth="1"/>
    <col min="7705" max="7939" width="13.140625" style="2"/>
    <col min="7940" max="7940" width="41.5703125" style="2" customWidth="1"/>
    <col min="7941" max="7941" width="7.42578125" style="2" customWidth="1"/>
    <col min="7942" max="7942" width="7" style="2" customWidth="1"/>
    <col min="7943" max="7943" width="13.140625" style="2" customWidth="1"/>
    <col min="7944" max="7944" width="4.5703125" style="2" customWidth="1"/>
    <col min="7945" max="7945" width="6" style="2" customWidth="1"/>
    <col min="7946" max="7946" width="8.85546875" style="2" customWidth="1"/>
    <col min="7947" max="7954" width="0" style="2" hidden="1" customWidth="1"/>
    <col min="7955" max="7955" width="16.42578125" style="2" customWidth="1"/>
    <col min="7956" max="7959" width="0" style="2" hidden="1" customWidth="1"/>
    <col min="7960" max="7960" width="13.42578125" style="2" bestFit="1" customWidth="1"/>
    <col min="7961" max="8195" width="13.140625" style="2"/>
    <col min="8196" max="8196" width="41.5703125" style="2" customWidth="1"/>
    <col min="8197" max="8197" width="7.42578125" style="2" customWidth="1"/>
    <col min="8198" max="8198" width="7" style="2" customWidth="1"/>
    <col min="8199" max="8199" width="13.140625" style="2" customWidth="1"/>
    <col min="8200" max="8200" width="4.5703125" style="2" customWidth="1"/>
    <col min="8201" max="8201" width="6" style="2" customWidth="1"/>
    <col min="8202" max="8202" width="8.85546875" style="2" customWidth="1"/>
    <col min="8203" max="8210" width="0" style="2" hidden="1" customWidth="1"/>
    <col min="8211" max="8211" width="16.42578125" style="2" customWidth="1"/>
    <col min="8212" max="8215" width="0" style="2" hidden="1" customWidth="1"/>
    <col min="8216" max="8216" width="13.42578125" style="2" bestFit="1" customWidth="1"/>
    <col min="8217" max="8451" width="13.140625" style="2"/>
    <col min="8452" max="8452" width="41.5703125" style="2" customWidth="1"/>
    <col min="8453" max="8453" width="7.42578125" style="2" customWidth="1"/>
    <col min="8454" max="8454" width="7" style="2" customWidth="1"/>
    <col min="8455" max="8455" width="13.140625" style="2" customWidth="1"/>
    <col min="8456" max="8456" width="4.5703125" style="2" customWidth="1"/>
    <col min="8457" max="8457" width="6" style="2" customWidth="1"/>
    <col min="8458" max="8458" width="8.85546875" style="2" customWidth="1"/>
    <col min="8459" max="8466" width="0" style="2" hidden="1" customWidth="1"/>
    <col min="8467" max="8467" width="16.42578125" style="2" customWidth="1"/>
    <col min="8468" max="8471" width="0" style="2" hidden="1" customWidth="1"/>
    <col min="8472" max="8472" width="13.42578125" style="2" bestFit="1" customWidth="1"/>
    <col min="8473" max="8707" width="13.140625" style="2"/>
    <col min="8708" max="8708" width="41.5703125" style="2" customWidth="1"/>
    <col min="8709" max="8709" width="7.42578125" style="2" customWidth="1"/>
    <col min="8710" max="8710" width="7" style="2" customWidth="1"/>
    <col min="8711" max="8711" width="13.140625" style="2" customWidth="1"/>
    <col min="8712" max="8712" width="4.5703125" style="2" customWidth="1"/>
    <col min="8713" max="8713" width="6" style="2" customWidth="1"/>
    <col min="8714" max="8714" width="8.85546875" style="2" customWidth="1"/>
    <col min="8715" max="8722" width="0" style="2" hidden="1" customWidth="1"/>
    <col min="8723" max="8723" width="16.42578125" style="2" customWidth="1"/>
    <col min="8724" max="8727" width="0" style="2" hidden="1" customWidth="1"/>
    <col min="8728" max="8728" width="13.42578125" style="2" bestFit="1" customWidth="1"/>
    <col min="8729" max="8963" width="13.140625" style="2"/>
    <col min="8964" max="8964" width="41.5703125" style="2" customWidth="1"/>
    <col min="8965" max="8965" width="7.42578125" style="2" customWidth="1"/>
    <col min="8966" max="8966" width="7" style="2" customWidth="1"/>
    <col min="8967" max="8967" width="13.140625" style="2" customWidth="1"/>
    <col min="8968" max="8968" width="4.5703125" style="2" customWidth="1"/>
    <col min="8969" max="8969" width="6" style="2" customWidth="1"/>
    <col min="8970" max="8970" width="8.85546875" style="2" customWidth="1"/>
    <col min="8971" max="8978" width="0" style="2" hidden="1" customWidth="1"/>
    <col min="8979" max="8979" width="16.42578125" style="2" customWidth="1"/>
    <col min="8980" max="8983" width="0" style="2" hidden="1" customWidth="1"/>
    <col min="8984" max="8984" width="13.42578125" style="2" bestFit="1" customWidth="1"/>
    <col min="8985" max="9219" width="13.140625" style="2"/>
    <col min="9220" max="9220" width="41.5703125" style="2" customWidth="1"/>
    <col min="9221" max="9221" width="7.42578125" style="2" customWidth="1"/>
    <col min="9222" max="9222" width="7" style="2" customWidth="1"/>
    <col min="9223" max="9223" width="13.140625" style="2" customWidth="1"/>
    <col min="9224" max="9224" width="4.5703125" style="2" customWidth="1"/>
    <col min="9225" max="9225" width="6" style="2" customWidth="1"/>
    <col min="9226" max="9226" width="8.85546875" style="2" customWidth="1"/>
    <col min="9227" max="9234" width="0" style="2" hidden="1" customWidth="1"/>
    <col min="9235" max="9235" width="16.42578125" style="2" customWidth="1"/>
    <col min="9236" max="9239" width="0" style="2" hidden="1" customWidth="1"/>
    <col min="9240" max="9240" width="13.42578125" style="2" bestFit="1" customWidth="1"/>
    <col min="9241" max="9475" width="13.140625" style="2"/>
    <col min="9476" max="9476" width="41.5703125" style="2" customWidth="1"/>
    <col min="9477" max="9477" width="7.42578125" style="2" customWidth="1"/>
    <col min="9478" max="9478" width="7" style="2" customWidth="1"/>
    <col min="9479" max="9479" width="13.140625" style="2" customWidth="1"/>
    <col min="9480" max="9480" width="4.5703125" style="2" customWidth="1"/>
    <col min="9481" max="9481" width="6" style="2" customWidth="1"/>
    <col min="9482" max="9482" width="8.85546875" style="2" customWidth="1"/>
    <col min="9483" max="9490" width="0" style="2" hidden="1" customWidth="1"/>
    <col min="9491" max="9491" width="16.42578125" style="2" customWidth="1"/>
    <col min="9492" max="9495" width="0" style="2" hidden="1" customWidth="1"/>
    <col min="9496" max="9496" width="13.42578125" style="2" bestFit="1" customWidth="1"/>
    <col min="9497" max="9731" width="13.140625" style="2"/>
    <col min="9732" max="9732" width="41.5703125" style="2" customWidth="1"/>
    <col min="9733" max="9733" width="7.42578125" style="2" customWidth="1"/>
    <col min="9734" max="9734" width="7" style="2" customWidth="1"/>
    <col min="9735" max="9735" width="13.140625" style="2" customWidth="1"/>
    <col min="9736" max="9736" width="4.5703125" style="2" customWidth="1"/>
    <col min="9737" max="9737" width="6" style="2" customWidth="1"/>
    <col min="9738" max="9738" width="8.85546875" style="2" customWidth="1"/>
    <col min="9739" max="9746" width="0" style="2" hidden="1" customWidth="1"/>
    <col min="9747" max="9747" width="16.42578125" style="2" customWidth="1"/>
    <col min="9748" max="9751" width="0" style="2" hidden="1" customWidth="1"/>
    <col min="9752" max="9752" width="13.42578125" style="2" bestFit="1" customWidth="1"/>
    <col min="9753" max="9987" width="13.140625" style="2"/>
    <col min="9988" max="9988" width="41.5703125" style="2" customWidth="1"/>
    <col min="9989" max="9989" width="7.42578125" style="2" customWidth="1"/>
    <col min="9990" max="9990" width="7" style="2" customWidth="1"/>
    <col min="9991" max="9991" width="13.140625" style="2" customWidth="1"/>
    <col min="9992" max="9992" width="4.5703125" style="2" customWidth="1"/>
    <col min="9993" max="9993" width="6" style="2" customWidth="1"/>
    <col min="9994" max="9994" width="8.85546875" style="2" customWidth="1"/>
    <col min="9995" max="10002" width="0" style="2" hidden="1" customWidth="1"/>
    <col min="10003" max="10003" width="16.42578125" style="2" customWidth="1"/>
    <col min="10004" max="10007" width="0" style="2" hidden="1" customWidth="1"/>
    <col min="10008" max="10008" width="13.42578125" style="2" bestFit="1" customWidth="1"/>
    <col min="10009" max="10243" width="13.140625" style="2"/>
    <col min="10244" max="10244" width="41.5703125" style="2" customWidth="1"/>
    <col min="10245" max="10245" width="7.42578125" style="2" customWidth="1"/>
    <col min="10246" max="10246" width="7" style="2" customWidth="1"/>
    <col min="10247" max="10247" width="13.140625" style="2" customWidth="1"/>
    <col min="10248" max="10248" width="4.5703125" style="2" customWidth="1"/>
    <col min="10249" max="10249" width="6" style="2" customWidth="1"/>
    <col min="10250" max="10250" width="8.85546875" style="2" customWidth="1"/>
    <col min="10251" max="10258" width="0" style="2" hidden="1" customWidth="1"/>
    <col min="10259" max="10259" width="16.42578125" style="2" customWidth="1"/>
    <col min="10260" max="10263" width="0" style="2" hidden="1" customWidth="1"/>
    <col min="10264" max="10264" width="13.42578125" style="2" bestFit="1" customWidth="1"/>
    <col min="10265" max="10499" width="13.140625" style="2"/>
    <col min="10500" max="10500" width="41.5703125" style="2" customWidth="1"/>
    <col min="10501" max="10501" width="7.42578125" style="2" customWidth="1"/>
    <col min="10502" max="10502" width="7" style="2" customWidth="1"/>
    <col min="10503" max="10503" width="13.140625" style="2" customWidth="1"/>
    <col min="10504" max="10504" width="4.5703125" style="2" customWidth="1"/>
    <col min="10505" max="10505" width="6" style="2" customWidth="1"/>
    <col min="10506" max="10506" width="8.85546875" style="2" customWidth="1"/>
    <col min="10507" max="10514" width="0" style="2" hidden="1" customWidth="1"/>
    <col min="10515" max="10515" width="16.42578125" style="2" customWidth="1"/>
    <col min="10516" max="10519" width="0" style="2" hidden="1" customWidth="1"/>
    <col min="10520" max="10520" width="13.42578125" style="2" bestFit="1" customWidth="1"/>
    <col min="10521" max="10755" width="13.140625" style="2"/>
    <col min="10756" max="10756" width="41.5703125" style="2" customWidth="1"/>
    <col min="10757" max="10757" width="7.42578125" style="2" customWidth="1"/>
    <col min="10758" max="10758" width="7" style="2" customWidth="1"/>
    <col min="10759" max="10759" width="13.140625" style="2" customWidth="1"/>
    <col min="10760" max="10760" width="4.5703125" style="2" customWidth="1"/>
    <col min="10761" max="10761" width="6" style="2" customWidth="1"/>
    <col min="10762" max="10762" width="8.85546875" style="2" customWidth="1"/>
    <col min="10763" max="10770" width="0" style="2" hidden="1" customWidth="1"/>
    <col min="10771" max="10771" width="16.42578125" style="2" customWidth="1"/>
    <col min="10772" max="10775" width="0" style="2" hidden="1" customWidth="1"/>
    <col min="10776" max="10776" width="13.42578125" style="2" bestFit="1" customWidth="1"/>
    <col min="10777" max="11011" width="13.140625" style="2"/>
    <col min="11012" max="11012" width="41.5703125" style="2" customWidth="1"/>
    <col min="11013" max="11013" width="7.42578125" style="2" customWidth="1"/>
    <col min="11014" max="11014" width="7" style="2" customWidth="1"/>
    <col min="11015" max="11015" width="13.140625" style="2" customWidth="1"/>
    <col min="11016" max="11016" width="4.5703125" style="2" customWidth="1"/>
    <col min="11017" max="11017" width="6" style="2" customWidth="1"/>
    <col min="11018" max="11018" width="8.85546875" style="2" customWidth="1"/>
    <col min="11019" max="11026" width="0" style="2" hidden="1" customWidth="1"/>
    <col min="11027" max="11027" width="16.42578125" style="2" customWidth="1"/>
    <col min="11028" max="11031" width="0" style="2" hidden="1" customWidth="1"/>
    <col min="11032" max="11032" width="13.42578125" style="2" bestFit="1" customWidth="1"/>
    <col min="11033" max="11267" width="13.140625" style="2"/>
    <col min="11268" max="11268" width="41.5703125" style="2" customWidth="1"/>
    <col min="11269" max="11269" width="7.42578125" style="2" customWidth="1"/>
    <col min="11270" max="11270" width="7" style="2" customWidth="1"/>
    <col min="11271" max="11271" width="13.140625" style="2" customWidth="1"/>
    <col min="11272" max="11272" width="4.5703125" style="2" customWidth="1"/>
    <col min="11273" max="11273" width="6" style="2" customWidth="1"/>
    <col min="11274" max="11274" width="8.85546875" style="2" customWidth="1"/>
    <col min="11275" max="11282" width="0" style="2" hidden="1" customWidth="1"/>
    <col min="11283" max="11283" width="16.42578125" style="2" customWidth="1"/>
    <col min="11284" max="11287" width="0" style="2" hidden="1" customWidth="1"/>
    <col min="11288" max="11288" width="13.42578125" style="2" bestFit="1" customWidth="1"/>
    <col min="11289" max="11523" width="13.140625" style="2"/>
    <col min="11524" max="11524" width="41.5703125" style="2" customWidth="1"/>
    <col min="11525" max="11525" width="7.42578125" style="2" customWidth="1"/>
    <col min="11526" max="11526" width="7" style="2" customWidth="1"/>
    <col min="11527" max="11527" width="13.140625" style="2" customWidth="1"/>
    <col min="11528" max="11528" width="4.5703125" style="2" customWidth="1"/>
    <col min="11529" max="11529" width="6" style="2" customWidth="1"/>
    <col min="11530" max="11530" width="8.85546875" style="2" customWidth="1"/>
    <col min="11531" max="11538" width="0" style="2" hidden="1" customWidth="1"/>
    <col min="11539" max="11539" width="16.42578125" style="2" customWidth="1"/>
    <col min="11540" max="11543" width="0" style="2" hidden="1" customWidth="1"/>
    <col min="11544" max="11544" width="13.42578125" style="2" bestFit="1" customWidth="1"/>
    <col min="11545" max="11779" width="13.140625" style="2"/>
    <col min="11780" max="11780" width="41.5703125" style="2" customWidth="1"/>
    <col min="11781" max="11781" width="7.42578125" style="2" customWidth="1"/>
    <col min="11782" max="11782" width="7" style="2" customWidth="1"/>
    <col min="11783" max="11783" width="13.140625" style="2" customWidth="1"/>
    <col min="11784" max="11784" width="4.5703125" style="2" customWidth="1"/>
    <col min="11785" max="11785" width="6" style="2" customWidth="1"/>
    <col min="11786" max="11786" width="8.85546875" style="2" customWidth="1"/>
    <col min="11787" max="11794" width="0" style="2" hidden="1" customWidth="1"/>
    <col min="11795" max="11795" width="16.42578125" style="2" customWidth="1"/>
    <col min="11796" max="11799" width="0" style="2" hidden="1" customWidth="1"/>
    <col min="11800" max="11800" width="13.42578125" style="2" bestFit="1" customWidth="1"/>
    <col min="11801" max="12035" width="13.140625" style="2"/>
    <col min="12036" max="12036" width="41.5703125" style="2" customWidth="1"/>
    <col min="12037" max="12037" width="7.42578125" style="2" customWidth="1"/>
    <col min="12038" max="12038" width="7" style="2" customWidth="1"/>
    <col min="12039" max="12039" width="13.140625" style="2" customWidth="1"/>
    <col min="12040" max="12040" width="4.5703125" style="2" customWidth="1"/>
    <col min="12041" max="12041" width="6" style="2" customWidth="1"/>
    <col min="12042" max="12042" width="8.85546875" style="2" customWidth="1"/>
    <col min="12043" max="12050" width="0" style="2" hidden="1" customWidth="1"/>
    <col min="12051" max="12051" width="16.42578125" style="2" customWidth="1"/>
    <col min="12052" max="12055" width="0" style="2" hidden="1" customWidth="1"/>
    <col min="12056" max="12056" width="13.42578125" style="2" bestFit="1" customWidth="1"/>
    <col min="12057" max="12291" width="13.140625" style="2"/>
    <col min="12292" max="12292" width="41.5703125" style="2" customWidth="1"/>
    <col min="12293" max="12293" width="7.42578125" style="2" customWidth="1"/>
    <col min="12294" max="12294" width="7" style="2" customWidth="1"/>
    <col min="12295" max="12295" width="13.140625" style="2" customWidth="1"/>
    <col min="12296" max="12296" width="4.5703125" style="2" customWidth="1"/>
    <col min="12297" max="12297" width="6" style="2" customWidth="1"/>
    <col min="12298" max="12298" width="8.85546875" style="2" customWidth="1"/>
    <col min="12299" max="12306" width="0" style="2" hidden="1" customWidth="1"/>
    <col min="12307" max="12307" width="16.42578125" style="2" customWidth="1"/>
    <col min="12308" max="12311" width="0" style="2" hidden="1" customWidth="1"/>
    <col min="12312" max="12312" width="13.42578125" style="2" bestFit="1" customWidth="1"/>
    <col min="12313" max="12547" width="13.140625" style="2"/>
    <col min="12548" max="12548" width="41.5703125" style="2" customWidth="1"/>
    <col min="12549" max="12549" width="7.42578125" style="2" customWidth="1"/>
    <col min="12550" max="12550" width="7" style="2" customWidth="1"/>
    <col min="12551" max="12551" width="13.140625" style="2" customWidth="1"/>
    <col min="12552" max="12552" width="4.5703125" style="2" customWidth="1"/>
    <col min="12553" max="12553" width="6" style="2" customWidth="1"/>
    <col min="12554" max="12554" width="8.85546875" style="2" customWidth="1"/>
    <col min="12555" max="12562" width="0" style="2" hidden="1" customWidth="1"/>
    <col min="12563" max="12563" width="16.42578125" style="2" customWidth="1"/>
    <col min="12564" max="12567" width="0" style="2" hidden="1" customWidth="1"/>
    <col min="12568" max="12568" width="13.42578125" style="2" bestFit="1" customWidth="1"/>
    <col min="12569" max="12803" width="13.140625" style="2"/>
    <col min="12804" max="12804" width="41.5703125" style="2" customWidth="1"/>
    <col min="12805" max="12805" width="7.42578125" style="2" customWidth="1"/>
    <col min="12806" max="12806" width="7" style="2" customWidth="1"/>
    <col min="12807" max="12807" width="13.140625" style="2" customWidth="1"/>
    <col min="12808" max="12808" width="4.5703125" style="2" customWidth="1"/>
    <col min="12809" max="12809" width="6" style="2" customWidth="1"/>
    <col min="12810" max="12810" width="8.85546875" style="2" customWidth="1"/>
    <col min="12811" max="12818" width="0" style="2" hidden="1" customWidth="1"/>
    <col min="12819" max="12819" width="16.42578125" style="2" customWidth="1"/>
    <col min="12820" max="12823" width="0" style="2" hidden="1" customWidth="1"/>
    <col min="12824" max="12824" width="13.42578125" style="2" bestFit="1" customWidth="1"/>
    <col min="12825" max="13059" width="13.140625" style="2"/>
    <col min="13060" max="13060" width="41.5703125" style="2" customWidth="1"/>
    <col min="13061" max="13061" width="7.42578125" style="2" customWidth="1"/>
    <col min="13062" max="13062" width="7" style="2" customWidth="1"/>
    <col min="13063" max="13063" width="13.140625" style="2" customWidth="1"/>
    <col min="13064" max="13064" width="4.5703125" style="2" customWidth="1"/>
    <col min="13065" max="13065" width="6" style="2" customWidth="1"/>
    <col min="13066" max="13066" width="8.85546875" style="2" customWidth="1"/>
    <col min="13067" max="13074" width="0" style="2" hidden="1" customWidth="1"/>
    <col min="13075" max="13075" width="16.42578125" style="2" customWidth="1"/>
    <col min="13076" max="13079" width="0" style="2" hidden="1" customWidth="1"/>
    <col min="13080" max="13080" width="13.42578125" style="2" bestFit="1" customWidth="1"/>
    <col min="13081" max="13315" width="13.140625" style="2"/>
    <col min="13316" max="13316" width="41.5703125" style="2" customWidth="1"/>
    <col min="13317" max="13317" width="7.42578125" style="2" customWidth="1"/>
    <col min="13318" max="13318" width="7" style="2" customWidth="1"/>
    <col min="13319" max="13319" width="13.140625" style="2" customWidth="1"/>
    <col min="13320" max="13320" width="4.5703125" style="2" customWidth="1"/>
    <col min="13321" max="13321" width="6" style="2" customWidth="1"/>
    <col min="13322" max="13322" width="8.85546875" style="2" customWidth="1"/>
    <col min="13323" max="13330" width="0" style="2" hidden="1" customWidth="1"/>
    <col min="13331" max="13331" width="16.42578125" style="2" customWidth="1"/>
    <col min="13332" max="13335" width="0" style="2" hidden="1" customWidth="1"/>
    <col min="13336" max="13336" width="13.42578125" style="2" bestFit="1" customWidth="1"/>
    <col min="13337" max="13571" width="13.140625" style="2"/>
    <col min="13572" max="13572" width="41.5703125" style="2" customWidth="1"/>
    <col min="13573" max="13573" width="7.42578125" style="2" customWidth="1"/>
    <col min="13574" max="13574" width="7" style="2" customWidth="1"/>
    <col min="13575" max="13575" width="13.140625" style="2" customWidth="1"/>
    <col min="13576" max="13576" width="4.5703125" style="2" customWidth="1"/>
    <col min="13577" max="13577" width="6" style="2" customWidth="1"/>
    <col min="13578" max="13578" width="8.85546875" style="2" customWidth="1"/>
    <col min="13579" max="13586" width="0" style="2" hidden="1" customWidth="1"/>
    <col min="13587" max="13587" width="16.42578125" style="2" customWidth="1"/>
    <col min="13588" max="13591" width="0" style="2" hidden="1" customWidth="1"/>
    <col min="13592" max="13592" width="13.42578125" style="2" bestFit="1" customWidth="1"/>
    <col min="13593" max="13827" width="13.140625" style="2"/>
    <col min="13828" max="13828" width="41.5703125" style="2" customWidth="1"/>
    <col min="13829" max="13829" width="7.42578125" style="2" customWidth="1"/>
    <col min="13830" max="13830" width="7" style="2" customWidth="1"/>
    <col min="13831" max="13831" width="13.140625" style="2" customWidth="1"/>
    <col min="13832" max="13832" width="4.5703125" style="2" customWidth="1"/>
    <col min="13833" max="13833" width="6" style="2" customWidth="1"/>
    <col min="13834" max="13834" width="8.85546875" style="2" customWidth="1"/>
    <col min="13835" max="13842" width="0" style="2" hidden="1" customWidth="1"/>
    <col min="13843" max="13843" width="16.42578125" style="2" customWidth="1"/>
    <col min="13844" max="13847" width="0" style="2" hidden="1" customWidth="1"/>
    <col min="13848" max="13848" width="13.42578125" style="2" bestFit="1" customWidth="1"/>
    <col min="13849" max="14083" width="13.140625" style="2"/>
    <col min="14084" max="14084" width="41.5703125" style="2" customWidth="1"/>
    <col min="14085" max="14085" width="7.42578125" style="2" customWidth="1"/>
    <col min="14086" max="14086" width="7" style="2" customWidth="1"/>
    <col min="14087" max="14087" width="13.140625" style="2" customWidth="1"/>
    <col min="14088" max="14088" width="4.5703125" style="2" customWidth="1"/>
    <col min="14089" max="14089" width="6" style="2" customWidth="1"/>
    <col min="14090" max="14090" width="8.85546875" style="2" customWidth="1"/>
    <col min="14091" max="14098" width="0" style="2" hidden="1" customWidth="1"/>
    <col min="14099" max="14099" width="16.42578125" style="2" customWidth="1"/>
    <col min="14100" max="14103" width="0" style="2" hidden="1" customWidth="1"/>
    <col min="14104" max="14104" width="13.42578125" style="2" bestFit="1" customWidth="1"/>
    <col min="14105" max="14339" width="13.140625" style="2"/>
    <col min="14340" max="14340" width="41.5703125" style="2" customWidth="1"/>
    <col min="14341" max="14341" width="7.42578125" style="2" customWidth="1"/>
    <col min="14342" max="14342" width="7" style="2" customWidth="1"/>
    <col min="14343" max="14343" width="13.140625" style="2" customWidth="1"/>
    <col min="14344" max="14344" width="4.5703125" style="2" customWidth="1"/>
    <col min="14345" max="14345" width="6" style="2" customWidth="1"/>
    <col min="14346" max="14346" width="8.85546875" style="2" customWidth="1"/>
    <col min="14347" max="14354" width="0" style="2" hidden="1" customWidth="1"/>
    <col min="14355" max="14355" width="16.42578125" style="2" customWidth="1"/>
    <col min="14356" max="14359" width="0" style="2" hidden="1" customWidth="1"/>
    <col min="14360" max="14360" width="13.42578125" style="2" bestFit="1" customWidth="1"/>
    <col min="14361" max="14595" width="13.140625" style="2"/>
    <col min="14596" max="14596" width="41.5703125" style="2" customWidth="1"/>
    <col min="14597" max="14597" width="7.42578125" style="2" customWidth="1"/>
    <col min="14598" max="14598" width="7" style="2" customWidth="1"/>
    <col min="14599" max="14599" width="13.140625" style="2" customWidth="1"/>
    <col min="14600" max="14600" width="4.5703125" style="2" customWidth="1"/>
    <col min="14601" max="14601" width="6" style="2" customWidth="1"/>
    <col min="14602" max="14602" width="8.85546875" style="2" customWidth="1"/>
    <col min="14603" max="14610" width="0" style="2" hidden="1" customWidth="1"/>
    <col min="14611" max="14611" width="16.42578125" style="2" customWidth="1"/>
    <col min="14612" max="14615" width="0" style="2" hidden="1" customWidth="1"/>
    <col min="14616" max="14616" width="13.42578125" style="2" bestFit="1" customWidth="1"/>
    <col min="14617" max="14851" width="13.140625" style="2"/>
    <col min="14852" max="14852" width="41.5703125" style="2" customWidth="1"/>
    <col min="14853" max="14853" width="7.42578125" style="2" customWidth="1"/>
    <col min="14854" max="14854" width="7" style="2" customWidth="1"/>
    <col min="14855" max="14855" width="13.140625" style="2" customWidth="1"/>
    <col min="14856" max="14856" width="4.5703125" style="2" customWidth="1"/>
    <col min="14857" max="14857" width="6" style="2" customWidth="1"/>
    <col min="14858" max="14858" width="8.85546875" style="2" customWidth="1"/>
    <col min="14859" max="14866" width="0" style="2" hidden="1" customWidth="1"/>
    <col min="14867" max="14867" width="16.42578125" style="2" customWidth="1"/>
    <col min="14868" max="14871" width="0" style="2" hidden="1" customWidth="1"/>
    <col min="14872" max="14872" width="13.42578125" style="2" bestFit="1" customWidth="1"/>
    <col min="14873" max="15107" width="13.140625" style="2"/>
    <col min="15108" max="15108" width="41.5703125" style="2" customWidth="1"/>
    <col min="15109" max="15109" width="7.42578125" style="2" customWidth="1"/>
    <col min="15110" max="15110" width="7" style="2" customWidth="1"/>
    <col min="15111" max="15111" width="13.140625" style="2" customWidth="1"/>
    <col min="15112" max="15112" width="4.5703125" style="2" customWidth="1"/>
    <col min="15113" max="15113" width="6" style="2" customWidth="1"/>
    <col min="15114" max="15114" width="8.85546875" style="2" customWidth="1"/>
    <col min="15115" max="15122" width="0" style="2" hidden="1" customWidth="1"/>
    <col min="15123" max="15123" width="16.42578125" style="2" customWidth="1"/>
    <col min="15124" max="15127" width="0" style="2" hidden="1" customWidth="1"/>
    <col min="15128" max="15128" width="13.42578125" style="2" bestFit="1" customWidth="1"/>
    <col min="15129" max="15363" width="13.140625" style="2"/>
    <col min="15364" max="15364" width="41.5703125" style="2" customWidth="1"/>
    <col min="15365" max="15365" width="7.42578125" style="2" customWidth="1"/>
    <col min="15366" max="15366" width="7" style="2" customWidth="1"/>
    <col min="15367" max="15367" width="13.140625" style="2" customWidth="1"/>
    <col min="15368" max="15368" width="4.5703125" style="2" customWidth="1"/>
    <col min="15369" max="15369" width="6" style="2" customWidth="1"/>
    <col min="15370" max="15370" width="8.85546875" style="2" customWidth="1"/>
    <col min="15371" max="15378" width="0" style="2" hidden="1" customWidth="1"/>
    <col min="15379" max="15379" width="16.42578125" style="2" customWidth="1"/>
    <col min="15380" max="15383" width="0" style="2" hidden="1" customWidth="1"/>
    <col min="15384" max="15384" width="13.42578125" style="2" bestFit="1" customWidth="1"/>
    <col min="15385" max="15619" width="13.140625" style="2"/>
    <col min="15620" max="15620" width="41.5703125" style="2" customWidth="1"/>
    <col min="15621" max="15621" width="7.42578125" style="2" customWidth="1"/>
    <col min="15622" max="15622" width="7" style="2" customWidth="1"/>
    <col min="15623" max="15623" width="13.140625" style="2" customWidth="1"/>
    <col min="15624" max="15624" width="4.5703125" style="2" customWidth="1"/>
    <col min="15625" max="15625" width="6" style="2" customWidth="1"/>
    <col min="15626" max="15626" width="8.85546875" style="2" customWidth="1"/>
    <col min="15627" max="15634" width="0" style="2" hidden="1" customWidth="1"/>
    <col min="15635" max="15635" width="16.42578125" style="2" customWidth="1"/>
    <col min="15636" max="15639" width="0" style="2" hidden="1" customWidth="1"/>
    <col min="15640" max="15640" width="13.42578125" style="2" bestFit="1" customWidth="1"/>
    <col min="15641" max="15875" width="13.140625" style="2"/>
    <col min="15876" max="15876" width="41.5703125" style="2" customWidth="1"/>
    <col min="15877" max="15877" width="7.42578125" style="2" customWidth="1"/>
    <col min="15878" max="15878" width="7" style="2" customWidth="1"/>
    <col min="15879" max="15879" width="13.140625" style="2" customWidth="1"/>
    <col min="15880" max="15880" width="4.5703125" style="2" customWidth="1"/>
    <col min="15881" max="15881" width="6" style="2" customWidth="1"/>
    <col min="15882" max="15882" width="8.85546875" style="2" customWidth="1"/>
    <col min="15883" max="15890" width="0" style="2" hidden="1" customWidth="1"/>
    <col min="15891" max="15891" width="16.42578125" style="2" customWidth="1"/>
    <col min="15892" max="15895" width="0" style="2" hidden="1" customWidth="1"/>
    <col min="15896" max="15896" width="13.42578125" style="2" bestFit="1" customWidth="1"/>
    <col min="15897" max="16131" width="13.140625" style="2"/>
    <col min="16132" max="16132" width="41.5703125" style="2" customWidth="1"/>
    <col min="16133" max="16133" width="7.42578125" style="2" customWidth="1"/>
    <col min="16134" max="16134" width="7" style="2" customWidth="1"/>
    <col min="16135" max="16135" width="13.140625" style="2" customWidth="1"/>
    <col min="16136" max="16136" width="4.5703125" style="2" customWidth="1"/>
    <col min="16137" max="16137" width="6" style="2" customWidth="1"/>
    <col min="16138" max="16138" width="8.85546875" style="2" customWidth="1"/>
    <col min="16139" max="16146" width="0" style="2" hidden="1" customWidth="1"/>
    <col min="16147" max="16147" width="16.42578125" style="2" customWidth="1"/>
    <col min="16148" max="16151" width="0" style="2" hidden="1" customWidth="1"/>
    <col min="16152" max="16152" width="13.42578125" style="2" bestFit="1" customWidth="1"/>
    <col min="16153" max="16384" width="13.140625" style="2"/>
  </cols>
  <sheetData>
    <row r="1" spans="1:31" ht="15.75" x14ac:dyDescent="0.25">
      <c r="D1" s="302"/>
      <c r="E1" s="303"/>
      <c r="F1" s="303"/>
      <c r="G1" s="2"/>
      <c r="H1" s="304"/>
      <c r="I1" s="304"/>
      <c r="J1" s="302"/>
      <c r="K1" s="303"/>
      <c r="L1" s="303"/>
      <c r="Q1" s="302" t="s">
        <v>543</v>
      </c>
      <c r="R1" s="303"/>
      <c r="S1" s="306"/>
      <c r="T1" s="302"/>
      <c r="U1" s="303"/>
      <c r="V1" s="303"/>
      <c r="W1" s="306"/>
      <c r="X1" s="315"/>
      <c r="Z1" s="304"/>
      <c r="AA1" s="304"/>
      <c r="AB1" s="302"/>
      <c r="AC1" s="303"/>
      <c r="AD1" s="303"/>
    </row>
    <row r="2" spans="1:31" ht="15.75" x14ac:dyDescent="0.25">
      <c r="D2" s="305"/>
      <c r="E2" s="306"/>
      <c r="F2" s="306"/>
      <c r="G2" s="2"/>
      <c r="H2" s="304"/>
      <c r="I2" s="304"/>
      <c r="J2" s="305"/>
      <c r="K2" s="306"/>
      <c r="L2" s="306"/>
      <c r="Q2" s="305" t="s">
        <v>392</v>
      </c>
      <c r="R2" s="306"/>
      <c r="S2" s="306"/>
      <c r="T2" s="305"/>
      <c r="U2" s="306"/>
      <c r="V2" s="306"/>
      <c r="W2" s="306"/>
      <c r="X2" s="316"/>
      <c r="Z2" s="304"/>
      <c r="AA2" s="304"/>
      <c r="AB2" s="305"/>
      <c r="AC2" s="306"/>
      <c r="AD2" s="306"/>
    </row>
    <row r="3" spans="1:31" ht="15.75" x14ac:dyDescent="0.25">
      <c r="D3" s="401"/>
      <c r="E3" s="401"/>
      <c r="F3" s="401"/>
      <c r="G3" s="401"/>
      <c r="H3" s="401"/>
      <c r="I3" s="401"/>
      <c r="J3" s="401"/>
      <c r="K3" s="401"/>
      <c r="L3" s="401"/>
      <c r="M3" s="401"/>
      <c r="Q3" s="401" t="s">
        <v>545</v>
      </c>
      <c r="R3" s="401"/>
      <c r="S3" s="306"/>
      <c r="T3" s="400"/>
      <c r="U3" s="400"/>
      <c r="V3" s="387"/>
      <c r="W3" s="306"/>
      <c r="X3" s="317"/>
      <c r="Y3" s="317"/>
      <c r="Z3" s="302"/>
      <c r="AA3" s="303"/>
      <c r="AB3" s="306"/>
      <c r="AC3" s="313"/>
      <c r="AD3" s="313"/>
      <c r="AE3" s="313"/>
    </row>
    <row r="4" spans="1:31" ht="18.75" x14ac:dyDescent="0.25">
      <c r="A4" s="402" t="s">
        <v>552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S4" s="306"/>
      <c r="T4" s="306"/>
      <c r="U4" s="306"/>
      <c r="V4" s="306"/>
      <c r="W4" s="306"/>
      <c r="Z4" s="305"/>
      <c r="AA4" s="306"/>
      <c r="AB4" s="306"/>
    </row>
    <row r="5" spans="1:31" ht="15.75" x14ac:dyDescent="0.25">
      <c r="X5" s="320"/>
      <c r="Y5" s="320"/>
      <c r="Z5" s="400"/>
      <c r="AA5" s="400"/>
      <c r="AB5" s="306"/>
    </row>
    <row r="6" spans="1:31" ht="16.5" thickBot="1" x14ac:dyDescent="0.3">
      <c r="A6" s="5"/>
      <c r="B6" s="3"/>
      <c r="C6" s="3"/>
      <c r="D6" s="4"/>
      <c r="E6" s="5"/>
      <c r="F6" s="3"/>
      <c r="G6" s="3"/>
      <c r="H6" s="6" t="s">
        <v>0</v>
      </c>
      <c r="I6" s="1"/>
      <c r="J6" s="1"/>
      <c r="K6" s="7"/>
      <c r="L6" s="7"/>
      <c r="M6" s="7"/>
      <c r="N6" s="7"/>
      <c r="X6" s="320"/>
      <c r="Y6" s="320"/>
      <c r="Z6" s="353"/>
      <c r="AA6" s="353"/>
      <c r="AB6" s="353"/>
    </row>
    <row r="7" spans="1:31" s="178" customFormat="1" ht="25.5" x14ac:dyDescent="0.2">
      <c r="A7" s="8" t="s">
        <v>1</v>
      </c>
      <c r="B7" s="9" t="s">
        <v>2</v>
      </c>
      <c r="C7" s="10" t="s">
        <v>3</v>
      </c>
      <c r="D7" s="10" t="s">
        <v>4</v>
      </c>
      <c r="E7" s="11" t="s">
        <v>5</v>
      </c>
      <c r="F7" s="10" t="s">
        <v>6</v>
      </c>
      <c r="G7" s="10" t="s">
        <v>7</v>
      </c>
      <c r="H7" s="411" t="s">
        <v>8</v>
      </c>
      <c r="I7" s="411" t="s">
        <v>9</v>
      </c>
      <c r="J7" s="419" t="s">
        <v>10</v>
      </c>
      <c r="K7" s="421" t="s">
        <v>11</v>
      </c>
      <c r="L7" s="421" t="s">
        <v>12</v>
      </c>
      <c r="M7" s="421" t="s">
        <v>13</v>
      </c>
      <c r="N7" s="423" t="s">
        <v>14</v>
      </c>
      <c r="O7" s="411" t="s">
        <v>15</v>
      </c>
      <c r="P7" s="425" t="s">
        <v>504</v>
      </c>
      <c r="Q7" s="405" t="s">
        <v>9</v>
      </c>
      <c r="R7" s="405" t="s">
        <v>10</v>
      </c>
      <c r="S7" s="405" t="s">
        <v>508</v>
      </c>
      <c r="T7" s="405" t="s">
        <v>12</v>
      </c>
      <c r="U7" s="405" t="s">
        <v>13</v>
      </c>
      <c r="V7" s="405" t="s">
        <v>522</v>
      </c>
      <c r="W7" s="405" t="s">
        <v>551</v>
      </c>
      <c r="X7" s="418"/>
      <c r="Y7" s="354"/>
      <c r="Z7" s="355"/>
      <c r="AA7" s="355"/>
      <c r="AB7" s="355"/>
    </row>
    <row r="8" spans="1:31" s="178" customFormat="1" x14ac:dyDescent="0.2">
      <c r="A8" s="12"/>
      <c r="B8" s="13"/>
      <c r="C8" s="154"/>
      <c r="D8" s="154"/>
      <c r="E8" s="323"/>
      <c r="F8" s="154"/>
      <c r="G8" s="154"/>
      <c r="H8" s="412"/>
      <c r="I8" s="412"/>
      <c r="J8" s="420"/>
      <c r="K8" s="422"/>
      <c r="L8" s="422"/>
      <c r="M8" s="422"/>
      <c r="N8" s="424"/>
      <c r="O8" s="412"/>
      <c r="P8" s="426"/>
      <c r="Q8" s="406"/>
      <c r="R8" s="406"/>
      <c r="S8" s="406"/>
      <c r="T8" s="406"/>
      <c r="U8" s="406"/>
      <c r="V8" s="406"/>
      <c r="W8" s="406"/>
      <c r="X8" s="418"/>
      <c r="Y8" s="354"/>
      <c r="Z8" s="355"/>
      <c r="AA8" s="355"/>
      <c r="AB8" s="355"/>
    </row>
    <row r="9" spans="1:31" x14ac:dyDescent="0.2">
      <c r="A9" s="12"/>
      <c r="B9" s="13"/>
      <c r="C9" s="14"/>
      <c r="D9" s="14"/>
      <c r="E9" s="15"/>
      <c r="F9" s="14"/>
      <c r="G9" s="14"/>
      <c r="H9" s="391"/>
      <c r="I9" s="391"/>
      <c r="J9" s="393"/>
      <c r="K9" s="394"/>
      <c r="L9" s="394"/>
      <c r="M9" s="394"/>
      <c r="N9" s="16"/>
      <c r="O9" s="391"/>
      <c r="P9" s="314"/>
      <c r="Q9" s="393"/>
      <c r="R9" s="389"/>
      <c r="S9" s="393"/>
      <c r="T9" s="393"/>
      <c r="U9" s="393"/>
      <c r="V9" s="393"/>
      <c r="W9" s="307"/>
      <c r="X9" s="320"/>
      <c r="Y9" s="320"/>
      <c r="Z9" s="353"/>
      <c r="AA9" s="353"/>
      <c r="AB9" s="353"/>
    </row>
    <row r="10" spans="1:31" ht="25.5" x14ac:dyDescent="0.2">
      <c r="A10" s="17" t="s">
        <v>16</v>
      </c>
      <c r="B10" s="18"/>
      <c r="C10" s="19" t="s">
        <v>17</v>
      </c>
      <c r="D10" s="19" t="s">
        <v>18</v>
      </c>
      <c r="E10" s="20" t="s">
        <v>19</v>
      </c>
      <c r="F10" s="19"/>
      <c r="G10" s="19"/>
      <c r="H10" s="21">
        <f>H11+H15+H50+H121+H101</f>
        <v>20507129.41</v>
      </c>
      <c r="I10" s="21" t="e">
        <f>I11+I15+I50+#REF!+#REF!+I101</f>
        <v>#REF!</v>
      </c>
      <c r="J10" s="21" t="e">
        <f>J11+J15+J50+#REF!+#REF!+J101</f>
        <v>#REF!</v>
      </c>
      <c r="K10" s="21" t="e">
        <f>K11+K15+K50+#REF!+#REF!+K101</f>
        <v>#REF!</v>
      </c>
      <c r="L10" s="21" t="e">
        <f>L11+L15+L50+#REF!+#REF!+L101</f>
        <v>#REF!</v>
      </c>
      <c r="M10" s="21" t="e">
        <f>M11+M15+M50+#REF!+#REF!+M101</f>
        <v>#REF!</v>
      </c>
      <c r="N10" s="21" t="e">
        <f>N11+N15+N50+#REF!+#REF!+N101</f>
        <v>#REF!</v>
      </c>
      <c r="O10" s="21">
        <f>O11+O15+O50+O121+O101</f>
        <v>19528202.492000002</v>
      </c>
      <c r="P10" s="279">
        <f t="shared" ref="P10:W10" si="0">P11+P15+P50+P121+P101+P112</f>
        <v>29031738.899999999</v>
      </c>
      <c r="Q10" s="279">
        <f t="shared" si="0"/>
        <v>345753.82</v>
      </c>
      <c r="R10" s="279">
        <f t="shared" si="0"/>
        <v>-152279.20000000001</v>
      </c>
      <c r="S10" s="279">
        <f t="shared" si="0"/>
        <v>498033.02</v>
      </c>
      <c r="T10" s="279">
        <f t="shared" si="0"/>
        <v>0</v>
      </c>
      <c r="U10" s="279">
        <f t="shared" si="0"/>
        <v>0</v>
      </c>
      <c r="V10" s="279">
        <f t="shared" si="0"/>
        <v>0</v>
      </c>
      <c r="W10" s="279">
        <f t="shared" si="0"/>
        <v>17570816.34</v>
      </c>
      <c r="X10" s="320"/>
      <c r="Y10" s="320"/>
      <c r="Z10" s="353"/>
      <c r="AA10" s="279">
        <f>AA11+AA15+AA50+AA121+AA101+AA112</f>
        <v>6138068.5500000007</v>
      </c>
      <c r="AB10" s="279">
        <f t="shared" ref="AB10" si="1">AB11+AB15+AB50+AB121+AB101+AB112</f>
        <v>17570816.34</v>
      </c>
    </row>
    <row r="11" spans="1:31" ht="25.5" x14ac:dyDescent="0.2">
      <c r="A11" s="22" t="s">
        <v>20</v>
      </c>
      <c r="B11" s="23">
        <v>804</v>
      </c>
      <c r="C11" s="24" t="s">
        <v>21</v>
      </c>
      <c r="D11" s="24" t="s">
        <v>22</v>
      </c>
      <c r="E11" s="25" t="s">
        <v>23</v>
      </c>
      <c r="F11" s="24" t="s">
        <v>19</v>
      </c>
      <c r="G11" s="24"/>
      <c r="H11" s="26">
        <f t="shared" ref="H11:U11" si="2">H12</f>
        <v>1651113.08</v>
      </c>
      <c r="I11" s="26">
        <f t="shared" si="2"/>
        <v>0</v>
      </c>
      <c r="J11" s="26">
        <f t="shared" si="2"/>
        <v>0</v>
      </c>
      <c r="K11" s="27">
        <f t="shared" si="2"/>
        <v>0</v>
      </c>
      <c r="L11" s="27">
        <f t="shared" si="2"/>
        <v>0</v>
      </c>
      <c r="M11" s="27">
        <f t="shared" si="2"/>
        <v>0</v>
      </c>
      <c r="N11" s="28">
        <f t="shared" si="2"/>
        <v>1651113.08</v>
      </c>
      <c r="O11" s="26">
        <f t="shared" si="2"/>
        <v>1651113.08</v>
      </c>
      <c r="P11" s="280">
        <f t="shared" si="2"/>
        <v>1681576.03</v>
      </c>
      <c r="Q11" s="280">
        <f>Q12</f>
        <v>0</v>
      </c>
      <c r="R11" s="280">
        <f>R12</f>
        <v>0</v>
      </c>
      <c r="S11" s="280">
        <f t="shared" si="2"/>
        <v>0</v>
      </c>
      <c r="T11" s="280">
        <f t="shared" si="2"/>
        <v>0</v>
      </c>
      <c r="U11" s="280">
        <f t="shared" si="2"/>
        <v>0</v>
      </c>
      <c r="V11" s="280"/>
      <c r="W11" s="280">
        <f>W12</f>
        <v>1473924.46</v>
      </c>
      <c r="X11" s="320"/>
      <c r="Y11" s="320"/>
      <c r="Z11" s="353"/>
      <c r="AA11" s="280">
        <f>AA12</f>
        <v>0</v>
      </c>
      <c r="AB11" s="280">
        <f>AB12</f>
        <v>1473924.46</v>
      </c>
    </row>
    <row r="12" spans="1:31" ht="25.5" x14ac:dyDescent="0.2">
      <c r="A12" s="29" t="s">
        <v>24</v>
      </c>
      <c r="B12" s="30">
        <v>804</v>
      </c>
      <c r="C12" s="31" t="s">
        <v>21</v>
      </c>
      <c r="D12" s="31" t="s">
        <v>22</v>
      </c>
      <c r="E12" s="32" t="s">
        <v>23</v>
      </c>
      <c r="F12" s="31" t="s">
        <v>25</v>
      </c>
      <c r="G12" s="31"/>
      <c r="H12" s="33">
        <f t="shared" ref="H12:V12" si="3">H13+H14</f>
        <v>1651113.08</v>
      </c>
      <c r="I12" s="33">
        <f t="shared" si="3"/>
        <v>0</v>
      </c>
      <c r="J12" s="33">
        <f t="shared" si="3"/>
        <v>0</v>
      </c>
      <c r="K12" s="34">
        <f t="shared" si="3"/>
        <v>0</v>
      </c>
      <c r="L12" s="34">
        <f t="shared" si="3"/>
        <v>0</v>
      </c>
      <c r="M12" s="34">
        <f t="shared" si="3"/>
        <v>0</v>
      </c>
      <c r="N12" s="35">
        <f t="shared" si="3"/>
        <v>1651113.08</v>
      </c>
      <c r="O12" s="33">
        <f t="shared" si="3"/>
        <v>1651113.08</v>
      </c>
      <c r="P12" s="281">
        <f t="shared" si="3"/>
        <v>1681576.03</v>
      </c>
      <c r="Q12" s="33">
        <f t="shared" si="3"/>
        <v>0</v>
      </c>
      <c r="R12" s="33">
        <f t="shared" si="3"/>
        <v>0</v>
      </c>
      <c r="S12" s="33">
        <f t="shared" si="3"/>
        <v>0</v>
      </c>
      <c r="T12" s="33">
        <f t="shared" si="3"/>
        <v>0</v>
      </c>
      <c r="U12" s="33">
        <f t="shared" si="3"/>
        <v>0</v>
      </c>
      <c r="V12" s="33">
        <f t="shared" si="3"/>
        <v>0</v>
      </c>
      <c r="W12" s="140">
        <f>W13+W14</f>
        <v>1473924.46</v>
      </c>
      <c r="X12" s="320"/>
      <c r="Y12" s="320"/>
      <c r="Z12" s="353"/>
      <c r="AA12" s="33">
        <f>AA13+AA14</f>
        <v>0</v>
      </c>
      <c r="AB12" s="33">
        <f>AB13+AB14</f>
        <v>1473924.46</v>
      </c>
    </row>
    <row r="13" spans="1:31" x14ac:dyDescent="0.2">
      <c r="A13" s="12" t="s">
        <v>26</v>
      </c>
      <c r="B13" s="13">
        <v>804</v>
      </c>
      <c r="C13" s="14" t="s">
        <v>21</v>
      </c>
      <c r="D13" s="36" t="s">
        <v>22</v>
      </c>
      <c r="E13" s="15" t="s">
        <v>23</v>
      </c>
      <c r="F13" s="14" t="s">
        <v>27</v>
      </c>
      <c r="G13" s="14"/>
      <c r="H13" s="37">
        <f>1088528.83+179607.17</f>
        <v>1268136</v>
      </c>
      <c r="I13" s="37">
        <f>SUM(J13:M13)</f>
        <v>0</v>
      </c>
      <c r="J13" s="37"/>
      <c r="K13" s="38"/>
      <c r="L13" s="38"/>
      <c r="M13" s="38"/>
      <c r="N13" s="39">
        <f>H13+I13</f>
        <v>1268136</v>
      </c>
      <c r="O13" s="37">
        <f>1088528.83+179607.17</f>
        <v>1268136</v>
      </c>
      <c r="P13" s="60">
        <v>1287071.32</v>
      </c>
      <c r="Q13" s="37">
        <f>R13+S13+T13+U13+V13</f>
        <v>0</v>
      </c>
      <c r="R13" s="37"/>
      <c r="S13" s="37"/>
      <c r="T13" s="37"/>
      <c r="U13" s="37">
        <v>0</v>
      </c>
      <c r="V13" s="37"/>
      <c r="W13" s="183">
        <v>1132046.44</v>
      </c>
      <c r="X13" s="320"/>
      <c r="Y13" s="320"/>
      <c r="Z13" s="353"/>
      <c r="AA13" s="37"/>
      <c r="AB13" s="37">
        <v>1132046.44</v>
      </c>
    </row>
    <row r="14" spans="1:31" x14ac:dyDescent="0.2">
      <c r="A14" s="12" t="s">
        <v>28</v>
      </c>
      <c r="B14" s="13">
        <v>804</v>
      </c>
      <c r="C14" s="14" t="s">
        <v>21</v>
      </c>
      <c r="D14" s="36" t="s">
        <v>22</v>
      </c>
      <c r="E14" s="15" t="s">
        <v>29</v>
      </c>
      <c r="F14" s="14" t="s">
        <v>30</v>
      </c>
      <c r="G14" s="14"/>
      <c r="H14" s="37">
        <f>328735.71+54241.37</f>
        <v>382977.08</v>
      </c>
      <c r="I14" s="37">
        <f>SUM(J14:M14)</f>
        <v>0</v>
      </c>
      <c r="J14" s="37"/>
      <c r="K14" s="38"/>
      <c r="L14" s="38"/>
      <c r="M14" s="38"/>
      <c r="N14" s="39">
        <f>H14+I14</f>
        <v>382977.08</v>
      </c>
      <c r="O14" s="37">
        <f>328735.71+54241.37</f>
        <v>382977.08</v>
      </c>
      <c r="P14" s="60">
        <v>394504.71</v>
      </c>
      <c r="Q14" s="37">
        <f>R14+S14+T14+U14+V14</f>
        <v>0</v>
      </c>
      <c r="R14" s="37"/>
      <c r="S14" s="37"/>
      <c r="T14" s="37"/>
      <c r="U14" s="37">
        <v>0</v>
      </c>
      <c r="V14" s="37"/>
      <c r="W14" s="183">
        <v>341878.02</v>
      </c>
      <c r="X14" s="320"/>
      <c r="Y14" s="320"/>
      <c r="Z14" s="353"/>
      <c r="AA14" s="37">
        <v>0</v>
      </c>
      <c r="AB14" s="37">
        <v>341878.02</v>
      </c>
    </row>
    <row r="15" spans="1:31" ht="51" x14ac:dyDescent="0.2">
      <c r="A15" s="40" t="s">
        <v>31</v>
      </c>
      <c r="B15" s="41"/>
      <c r="C15" s="24" t="s">
        <v>32</v>
      </c>
      <c r="D15" s="24" t="s">
        <v>18</v>
      </c>
      <c r="E15" s="25" t="s">
        <v>19</v>
      </c>
      <c r="F15" s="24"/>
      <c r="G15" s="24"/>
      <c r="H15" s="26">
        <f t="shared" ref="H15:O16" si="4">H16</f>
        <v>534941.42999999993</v>
      </c>
      <c r="I15" s="26">
        <f t="shared" si="4"/>
        <v>2497.65</v>
      </c>
      <c r="J15" s="26">
        <f t="shared" si="4"/>
        <v>2497.65</v>
      </c>
      <c r="K15" s="27">
        <f t="shared" si="4"/>
        <v>0</v>
      </c>
      <c r="L15" s="27">
        <f t="shared" si="4"/>
        <v>0</v>
      </c>
      <c r="M15" s="27">
        <f t="shared" si="4"/>
        <v>0</v>
      </c>
      <c r="N15" s="27">
        <f>N16</f>
        <v>537439.08000000007</v>
      </c>
      <c r="O15" s="26">
        <f t="shared" si="4"/>
        <v>523141.43</v>
      </c>
      <c r="P15" s="280">
        <f>P16</f>
        <v>24000</v>
      </c>
      <c r="Q15" s="280">
        <f t="shared" ref="Q15:W16" si="5">Q16</f>
        <v>0</v>
      </c>
      <c r="R15" s="280">
        <f>R16</f>
        <v>0</v>
      </c>
      <c r="S15" s="280">
        <f t="shared" si="5"/>
        <v>0</v>
      </c>
      <c r="T15" s="280">
        <f t="shared" si="5"/>
        <v>0</v>
      </c>
      <c r="U15" s="280">
        <f t="shared" si="5"/>
        <v>0</v>
      </c>
      <c r="V15" s="280">
        <f t="shared" si="5"/>
        <v>0</v>
      </c>
      <c r="W15" s="280">
        <f>W16</f>
        <v>24000</v>
      </c>
      <c r="X15" s="320"/>
      <c r="Y15" s="320"/>
      <c r="Z15" s="320"/>
      <c r="AA15" s="280">
        <f>AA16</f>
        <v>22972</v>
      </c>
      <c r="AB15" s="280">
        <f>AB16</f>
        <v>24000</v>
      </c>
    </row>
    <row r="16" spans="1:31" ht="25.5" x14ac:dyDescent="0.2">
      <c r="A16" s="29" t="s">
        <v>33</v>
      </c>
      <c r="B16" s="30">
        <v>804</v>
      </c>
      <c r="C16" s="31" t="s">
        <v>32</v>
      </c>
      <c r="D16" s="42" t="s">
        <v>34</v>
      </c>
      <c r="E16" s="32" t="s">
        <v>19</v>
      </c>
      <c r="F16" s="31" t="s">
        <v>19</v>
      </c>
      <c r="G16" s="31"/>
      <c r="H16" s="33">
        <f>H17</f>
        <v>534941.42999999993</v>
      </c>
      <c r="I16" s="33">
        <f t="shared" si="4"/>
        <v>2497.65</v>
      </c>
      <c r="J16" s="33">
        <f t="shared" si="4"/>
        <v>2497.65</v>
      </c>
      <c r="K16" s="34">
        <f t="shared" si="4"/>
        <v>0</v>
      </c>
      <c r="L16" s="34">
        <f t="shared" si="4"/>
        <v>0</v>
      </c>
      <c r="M16" s="34">
        <f t="shared" si="4"/>
        <v>0</v>
      </c>
      <c r="N16" s="34">
        <f t="shared" si="4"/>
        <v>537439.08000000007</v>
      </c>
      <c r="O16" s="33">
        <f>O17</f>
        <v>523141.43</v>
      </c>
      <c r="P16" s="281">
        <f>P17</f>
        <v>24000</v>
      </c>
      <c r="Q16" s="281">
        <f t="shared" si="5"/>
        <v>0</v>
      </c>
      <c r="R16" s="281">
        <f>R17</f>
        <v>0</v>
      </c>
      <c r="S16" s="281">
        <f t="shared" si="5"/>
        <v>0</v>
      </c>
      <c r="T16" s="281">
        <f t="shared" si="5"/>
        <v>0</v>
      </c>
      <c r="U16" s="281">
        <f t="shared" si="5"/>
        <v>0</v>
      </c>
      <c r="V16" s="281">
        <f t="shared" si="5"/>
        <v>0</v>
      </c>
      <c r="W16" s="285">
        <f t="shared" si="5"/>
        <v>24000</v>
      </c>
      <c r="X16" s="320"/>
      <c r="Y16" s="320"/>
      <c r="Z16" s="320"/>
      <c r="AA16" s="281">
        <f>AA17</f>
        <v>22972</v>
      </c>
      <c r="AB16" s="281">
        <f t="shared" ref="AB16" si="6">AB17</f>
        <v>24000</v>
      </c>
    </row>
    <row r="17" spans="1:28" hidden="1" x14ac:dyDescent="0.2">
      <c r="A17" s="29" t="s">
        <v>35</v>
      </c>
      <c r="B17" s="30">
        <v>804</v>
      </c>
      <c r="C17" s="31" t="s">
        <v>32</v>
      </c>
      <c r="D17" s="42" t="s">
        <v>34</v>
      </c>
      <c r="E17" s="32" t="s">
        <v>23</v>
      </c>
      <c r="F17" s="31" t="s">
        <v>19</v>
      </c>
      <c r="G17" s="31"/>
      <c r="H17" s="33">
        <f t="shared" ref="H17:V17" si="7">H18+H24+H38+H42</f>
        <v>534941.42999999993</v>
      </c>
      <c r="I17" s="33">
        <f t="shared" si="7"/>
        <v>2497.65</v>
      </c>
      <c r="J17" s="33">
        <f t="shared" si="7"/>
        <v>2497.65</v>
      </c>
      <c r="K17" s="34">
        <f t="shared" si="7"/>
        <v>0</v>
      </c>
      <c r="L17" s="34">
        <f t="shared" si="7"/>
        <v>0</v>
      </c>
      <c r="M17" s="34">
        <f t="shared" si="7"/>
        <v>0</v>
      </c>
      <c r="N17" s="34">
        <f t="shared" si="7"/>
        <v>537439.08000000007</v>
      </c>
      <c r="O17" s="33">
        <f t="shared" si="7"/>
        <v>523141.43</v>
      </c>
      <c r="P17" s="281">
        <f t="shared" si="7"/>
        <v>24000</v>
      </c>
      <c r="Q17" s="281">
        <f t="shared" si="7"/>
        <v>0</v>
      </c>
      <c r="R17" s="281">
        <f t="shared" si="7"/>
        <v>0</v>
      </c>
      <c r="S17" s="281">
        <f t="shared" si="7"/>
        <v>0</v>
      </c>
      <c r="T17" s="281">
        <f t="shared" si="7"/>
        <v>0</v>
      </c>
      <c r="U17" s="281">
        <f t="shared" si="7"/>
        <v>0</v>
      </c>
      <c r="V17" s="281">
        <f t="shared" si="7"/>
        <v>0</v>
      </c>
      <c r="W17" s="285">
        <f>W18+W24+W42</f>
        <v>24000</v>
      </c>
      <c r="X17" s="320"/>
      <c r="Y17" s="320"/>
      <c r="Z17" s="353"/>
      <c r="AA17" s="281">
        <f>AA18+AA24+AA38+AA42</f>
        <v>22972</v>
      </c>
      <c r="AB17" s="281">
        <f>AB18+AB24+AB42</f>
        <v>24000</v>
      </c>
    </row>
    <row r="18" spans="1:28" ht="25.5" hidden="1" x14ac:dyDescent="0.2">
      <c r="A18" s="29" t="s">
        <v>24</v>
      </c>
      <c r="B18" s="30">
        <v>804</v>
      </c>
      <c r="C18" s="31" t="s">
        <v>32</v>
      </c>
      <c r="D18" s="42" t="s">
        <v>34</v>
      </c>
      <c r="E18" s="32" t="s">
        <v>23</v>
      </c>
      <c r="F18" s="31" t="s">
        <v>25</v>
      </c>
      <c r="G18" s="31"/>
      <c r="H18" s="33">
        <f>H19+H20+H23</f>
        <v>475641.43</v>
      </c>
      <c r="I18" s="33">
        <f t="shared" ref="I18:N18" si="8">I19+I23</f>
        <v>0</v>
      </c>
      <c r="J18" s="33">
        <f t="shared" si="8"/>
        <v>0</v>
      </c>
      <c r="K18" s="34">
        <f t="shared" si="8"/>
        <v>0</v>
      </c>
      <c r="L18" s="34">
        <f t="shared" si="8"/>
        <v>0</v>
      </c>
      <c r="M18" s="34">
        <f t="shared" si="8"/>
        <v>0</v>
      </c>
      <c r="N18" s="34">
        <f t="shared" si="8"/>
        <v>475641.43</v>
      </c>
      <c r="O18" s="33">
        <f>O19+O20+O23</f>
        <v>475641.43</v>
      </c>
      <c r="P18" s="281">
        <f t="shared" ref="P18:W18" si="9">P19+P20</f>
        <v>0</v>
      </c>
      <c r="Q18" s="281">
        <f t="shared" si="9"/>
        <v>0</v>
      </c>
      <c r="R18" s="281">
        <f t="shared" si="9"/>
        <v>0</v>
      </c>
      <c r="S18" s="281">
        <f t="shared" si="9"/>
        <v>0</v>
      </c>
      <c r="T18" s="281">
        <f t="shared" si="9"/>
        <v>0</v>
      </c>
      <c r="U18" s="281">
        <f t="shared" si="9"/>
        <v>0</v>
      </c>
      <c r="V18" s="281"/>
      <c r="W18" s="285">
        <f t="shared" si="9"/>
        <v>0</v>
      </c>
      <c r="X18" s="320"/>
      <c r="Y18" s="320"/>
      <c r="Z18" s="353"/>
      <c r="AA18" s="281">
        <f>AA19+AA20</f>
        <v>0</v>
      </c>
      <c r="AB18" s="281">
        <f t="shared" ref="AB18" si="10">AB19+AB20</f>
        <v>0</v>
      </c>
    </row>
    <row r="19" spans="1:28" hidden="1" x14ac:dyDescent="0.2">
      <c r="A19" s="12" t="s">
        <v>26</v>
      </c>
      <c r="B19" s="13">
        <v>804</v>
      </c>
      <c r="C19" s="14" t="s">
        <v>32</v>
      </c>
      <c r="D19" s="36" t="s">
        <v>34</v>
      </c>
      <c r="E19" s="15" t="s">
        <v>23</v>
      </c>
      <c r="F19" s="14" t="s">
        <v>27</v>
      </c>
      <c r="G19" s="14"/>
      <c r="H19" s="37">
        <f>412860.35-47544.35</f>
        <v>365316</v>
      </c>
      <c r="I19" s="37">
        <f>SUM(J19:M19)</f>
        <v>0</v>
      </c>
      <c r="J19" s="37"/>
      <c r="K19" s="38"/>
      <c r="L19" s="38"/>
      <c r="M19" s="38"/>
      <c r="N19" s="39">
        <f>H19+I19</f>
        <v>365316</v>
      </c>
      <c r="O19" s="37">
        <f>412860.35-47544.35</f>
        <v>365316</v>
      </c>
      <c r="P19" s="60">
        <v>0</v>
      </c>
      <c r="Q19" s="37">
        <f>R19+S19+T19+U19</f>
        <v>0</v>
      </c>
      <c r="R19" s="37"/>
      <c r="S19" s="37"/>
      <c r="T19" s="37"/>
      <c r="U19" s="37"/>
      <c r="V19" s="37"/>
      <c r="W19" s="183">
        <f>Q19+P19</f>
        <v>0</v>
      </c>
      <c r="X19" s="320"/>
      <c r="Y19" s="320"/>
      <c r="Z19" s="353"/>
      <c r="AA19" s="37"/>
      <c r="AB19" s="37">
        <f>V19+U19</f>
        <v>0</v>
      </c>
    </row>
    <row r="20" spans="1:28" hidden="1" x14ac:dyDescent="0.2">
      <c r="A20" s="12" t="s">
        <v>36</v>
      </c>
      <c r="B20" s="13">
        <v>804</v>
      </c>
      <c r="C20" s="14" t="s">
        <v>32</v>
      </c>
      <c r="D20" s="36" t="s">
        <v>34</v>
      </c>
      <c r="E20" s="15" t="s">
        <v>29</v>
      </c>
      <c r="F20" s="14" t="s">
        <v>30</v>
      </c>
      <c r="G20" s="14"/>
      <c r="H20" s="37">
        <f t="shared" ref="H20:N20" si="11">H21+H22</f>
        <v>0</v>
      </c>
      <c r="I20" s="37">
        <f t="shared" si="11"/>
        <v>0</v>
      </c>
      <c r="J20" s="37">
        <f>J21+J22</f>
        <v>0</v>
      </c>
      <c r="K20" s="38">
        <f t="shared" si="11"/>
        <v>0</v>
      </c>
      <c r="L20" s="38">
        <f t="shared" si="11"/>
        <v>0</v>
      </c>
      <c r="M20" s="38">
        <f t="shared" si="11"/>
        <v>0</v>
      </c>
      <c r="N20" s="39">
        <f t="shared" si="11"/>
        <v>0</v>
      </c>
      <c r="O20" s="37">
        <f>O21+O22</f>
        <v>0</v>
      </c>
      <c r="P20" s="60">
        <v>0</v>
      </c>
      <c r="Q20" s="37">
        <f>R20+S20+T20+U20</f>
        <v>0</v>
      </c>
      <c r="R20" s="37"/>
      <c r="S20" s="37"/>
      <c r="T20" s="37"/>
      <c r="U20" s="37"/>
      <c r="V20" s="37"/>
      <c r="W20" s="183">
        <f>Q20+P20</f>
        <v>0</v>
      </c>
      <c r="X20" s="320"/>
      <c r="Y20" s="320"/>
      <c r="Z20" s="353"/>
      <c r="AA20" s="37"/>
      <c r="AB20" s="37">
        <f>V20+U20</f>
        <v>0</v>
      </c>
    </row>
    <row r="21" spans="1:28" hidden="1" x14ac:dyDescent="0.2">
      <c r="A21" s="44" t="s">
        <v>37</v>
      </c>
      <c r="B21" s="45"/>
      <c r="C21" s="14"/>
      <c r="D21" s="14"/>
      <c r="E21" s="15"/>
      <c r="F21" s="14"/>
      <c r="G21" s="14" t="s">
        <v>38</v>
      </c>
      <c r="H21" s="37">
        <v>0</v>
      </c>
      <c r="I21" s="37">
        <f>SUM(J21:M21)</f>
        <v>0</v>
      </c>
      <c r="J21" s="37">
        <v>0</v>
      </c>
      <c r="K21" s="38">
        <v>0</v>
      </c>
      <c r="L21" s="38">
        <v>0</v>
      </c>
      <c r="M21" s="38">
        <v>0</v>
      </c>
      <c r="N21" s="39">
        <f>H21+I21</f>
        <v>0</v>
      </c>
      <c r="O21" s="37">
        <v>0</v>
      </c>
      <c r="P21" s="60">
        <v>0</v>
      </c>
      <c r="Q21" s="37"/>
      <c r="R21" s="37"/>
      <c r="S21" s="37"/>
      <c r="T21" s="37"/>
      <c r="U21" s="37"/>
      <c r="V21" s="37"/>
      <c r="W21" s="183"/>
      <c r="X21" s="320"/>
      <c r="Y21" s="320"/>
      <c r="Z21" s="353"/>
      <c r="AA21" s="37"/>
      <c r="AB21" s="37"/>
    </row>
    <row r="22" spans="1:28" hidden="1" x14ac:dyDescent="0.2">
      <c r="A22" s="46" t="s">
        <v>39</v>
      </c>
      <c r="B22" s="47"/>
      <c r="C22" s="14"/>
      <c r="D22" s="14"/>
      <c r="E22" s="15"/>
      <c r="F22" s="14"/>
      <c r="G22" s="14" t="s">
        <v>40</v>
      </c>
      <c r="H22" s="37">
        <v>0</v>
      </c>
      <c r="I22" s="37">
        <f>SUM(J22:M22)</f>
        <v>0</v>
      </c>
      <c r="J22" s="37">
        <v>0</v>
      </c>
      <c r="K22" s="38">
        <v>0</v>
      </c>
      <c r="L22" s="38">
        <v>0</v>
      </c>
      <c r="M22" s="38">
        <v>0</v>
      </c>
      <c r="N22" s="39">
        <f>H22+I22</f>
        <v>0</v>
      </c>
      <c r="O22" s="37">
        <v>0</v>
      </c>
      <c r="P22" s="60">
        <v>0</v>
      </c>
      <c r="Q22" s="37"/>
      <c r="R22" s="37"/>
      <c r="S22" s="37"/>
      <c r="T22" s="37"/>
      <c r="U22" s="37"/>
      <c r="V22" s="37"/>
      <c r="W22" s="183"/>
      <c r="X22" s="320"/>
      <c r="Y22" s="320"/>
      <c r="Z22" s="353"/>
      <c r="AA22" s="37"/>
      <c r="AB22" s="37"/>
    </row>
    <row r="23" spans="1:28" hidden="1" x14ac:dyDescent="0.2">
      <c r="A23" s="12" t="s">
        <v>28</v>
      </c>
      <c r="B23" s="13">
        <v>804</v>
      </c>
      <c r="C23" s="14" t="s">
        <v>32</v>
      </c>
      <c r="D23" s="36" t="s">
        <v>34</v>
      </c>
      <c r="E23" s="15" t="s">
        <v>23</v>
      </c>
      <c r="F23" s="14" t="s">
        <v>30</v>
      </c>
      <c r="G23" s="14"/>
      <c r="H23" s="37">
        <v>110325.43</v>
      </c>
      <c r="I23" s="37">
        <f>SUM(J23:M23)</f>
        <v>0</v>
      </c>
      <c r="J23" s="37">
        <v>0</v>
      </c>
      <c r="K23" s="38">
        <v>0</v>
      </c>
      <c r="L23" s="38">
        <v>0</v>
      </c>
      <c r="M23" s="38">
        <v>0</v>
      </c>
      <c r="N23" s="39">
        <f>H23+I23</f>
        <v>110325.43</v>
      </c>
      <c r="O23" s="37">
        <v>110325.43</v>
      </c>
      <c r="P23" s="60">
        <v>0</v>
      </c>
      <c r="Q23" s="37"/>
      <c r="R23" s="37"/>
      <c r="S23" s="37"/>
      <c r="T23" s="37"/>
      <c r="U23" s="37"/>
      <c r="V23" s="37"/>
      <c r="W23" s="183"/>
      <c r="X23" s="320"/>
      <c r="Y23" s="320"/>
      <c r="Z23" s="353"/>
      <c r="AA23" s="37"/>
      <c r="AB23" s="37"/>
    </row>
    <row r="24" spans="1:28" hidden="1" x14ac:dyDescent="0.2">
      <c r="A24" s="29" t="s">
        <v>41</v>
      </c>
      <c r="B24" s="30">
        <v>804</v>
      </c>
      <c r="C24" s="31" t="s">
        <v>32</v>
      </c>
      <c r="D24" s="42" t="s">
        <v>34</v>
      </c>
      <c r="E24" s="32" t="s">
        <v>23</v>
      </c>
      <c r="F24" s="31" t="s">
        <v>42</v>
      </c>
      <c r="G24" s="31"/>
      <c r="H24" s="33">
        <f t="shared" ref="H24:O24" si="12">H25+H27+H30+H34+H26</f>
        <v>24300</v>
      </c>
      <c r="I24" s="33">
        <f t="shared" si="12"/>
        <v>997.65</v>
      </c>
      <c r="J24" s="33">
        <f t="shared" si="12"/>
        <v>997.65</v>
      </c>
      <c r="K24" s="34">
        <f t="shared" si="12"/>
        <v>0</v>
      </c>
      <c r="L24" s="34">
        <f t="shared" si="12"/>
        <v>0</v>
      </c>
      <c r="M24" s="34">
        <f t="shared" si="12"/>
        <v>0</v>
      </c>
      <c r="N24" s="34">
        <f t="shared" si="12"/>
        <v>25297.65</v>
      </c>
      <c r="O24" s="33">
        <f t="shared" si="12"/>
        <v>19500</v>
      </c>
      <c r="P24" s="281">
        <f>P25+P27+P30+P34+P26+P41</f>
        <v>0</v>
      </c>
      <c r="Q24" s="281">
        <f t="shared" ref="Q24:W24" si="13">Q25+Q27+Q30+Q34+Q26+Q41</f>
        <v>0</v>
      </c>
      <c r="R24" s="281">
        <f t="shared" si="13"/>
        <v>0</v>
      </c>
      <c r="S24" s="281">
        <f t="shared" si="13"/>
        <v>0</v>
      </c>
      <c r="T24" s="281">
        <f t="shared" si="13"/>
        <v>0</v>
      </c>
      <c r="U24" s="281">
        <f t="shared" si="13"/>
        <v>0</v>
      </c>
      <c r="V24" s="281"/>
      <c r="W24" s="285">
        <f t="shared" si="13"/>
        <v>0</v>
      </c>
      <c r="X24" s="320"/>
      <c r="Y24" s="320"/>
      <c r="Z24" s="353"/>
      <c r="AA24" s="281">
        <f>AA25+AA27+AA30+AA34+AA26+AA41</f>
        <v>0</v>
      </c>
      <c r="AB24" s="281">
        <f t="shared" ref="AB24" si="14">AB25+AB27+AB30+AB34+AB26+AB41</f>
        <v>0</v>
      </c>
    </row>
    <row r="25" spans="1:28" hidden="1" x14ac:dyDescent="0.2">
      <c r="A25" s="12" t="s">
        <v>43</v>
      </c>
      <c r="B25" s="13">
        <v>804</v>
      </c>
      <c r="C25" s="14" t="s">
        <v>32</v>
      </c>
      <c r="D25" s="36" t="s">
        <v>34</v>
      </c>
      <c r="E25" s="15" t="s">
        <v>44</v>
      </c>
      <c r="F25" s="14" t="s">
        <v>45</v>
      </c>
      <c r="G25" s="14"/>
      <c r="H25" s="37">
        <v>24000</v>
      </c>
      <c r="I25" s="37">
        <f>SUM(J25:M25)</f>
        <v>0</v>
      </c>
      <c r="J25" s="37"/>
      <c r="K25" s="38"/>
      <c r="L25" s="38"/>
      <c r="M25" s="38"/>
      <c r="N25" s="39">
        <f>H25+I25</f>
        <v>24000</v>
      </c>
      <c r="O25" s="37">
        <f>24000*80%</f>
        <v>19200</v>
      </c>
      <c r="P25" s="60">
        <v>0</v>
      </c>
      <c r="Q25" s="37">
        <f t="shared" ref="Q25:Q41" si="15">R25+S25+T25+U25</f>
        <v>0</v>
      </c>
      <c r="R25" s="37">
        <v>0</v>
      </c>
      <c r="S25" s="37"/>
      <c r="T25" s="37"/>
      <c r="U25" s="37">
        <v>0</v>
      </c>
      <c r="V25" s="37"/>
      <c r="W25" s="183">
        <f t="shared" ref="W25:W41" si="16">P25+Q25</f>
        <v>0</v>
      </c>
      <c r="X25" s="320"/>
      <c r="Y25" s="320"/>
      <c r="Z25" s="353"/>
      <c r="AA25" s="37">
        <v>0</v>
      </c>
      <c r="AB25" s="37">
        <f t="shared" ref="AB25:AB41" si="17">U25+V25</f>
        <v>0</v>
      </c>
    </row>
    <row r="26" spans="1:28" hidden="1" x14ac:dyDescent="0.2">
      <c r="A26" s="12" t="s">
        <v>43</v>
      </c>
      <c r="B26" s="13">
        <v>804</v>
      </c>
      <c r="C26" s="14" t="s">
        <v>32</v>
      </c>
      <c r="D26" s="36" t="s">
        <v>34</v>
      </c>
      <c r="E26" s="15" t="s">
        <v>46</v>
      </c>
      <c r="F26" s="14" t="s">
        <v>45</v>
      </c>
      <c r="G26" s="14"/>
      <c r="H26" s="37">
        <v>300</v>
      </c>
      <c r="I26" s="37">
        <f t="shared" ref="I26:I40" si="18">SUM(J26:M26)</f>
        <v>0</v>
      </c>
      <c r="J26" s="37"/>
      <c r="K26" s="38"/>
      <c r="L26" s="38"/>
      <c r="M26" s="38"/>
      <c r="N26" s="39">
        <f>H26+I26</f>
        <v>300</v>
      </c>
      <c r="O26" s="37">
        <v>300</v>
      </c>
      <c r="P26" s="60">
        <v>0</v>
      </c>
      <c r="Q26" s="37">
        <f t="shared" si="15"/>
        <v>0</v>
      </c>
      <c r="R26" s="37"/>
      <c r="S26" s="37"/>
      <c r="T26" s="37"/>
      <c r="U26" s="37">
        <v>0</v>
      </c>
      <c r="V26" s="37"/>
      <c r="W26" s="183">
        <f t="shared" si="16"/>
        <v>0</v>
      </c>
      <c r="X26" s="320"/>
      <c r="Y26" s="320"/>
      <c r="Z26" s="353"/>
      <c r="AA26" s="37"/>
      <c r="AB26" s="37">
        <f t="shared" si="17"/>
        <v>0</v>
      </c>
    </row>
    <row r="27" spans="1:28" hidden="1" x14ac:dyDescent="0.2">
      <c r="A27" s="12" t="s">
        <v>47</v>
      </c>
      <c r="B27" s="13">
        <v>804</v>
      </c>
      <c r="C27" s="14" t="s">
        <v>32</v>
      </c>
      <c r="D27" s="36" t="s">
        <v>34</v>
      </c>
      <c r="E27" s="15" t="s">
        <v>46</v>
      </c>
      <c r="F27" s="14" t="s">
        <v>48</v>
      </c>
      <c r="G27" s="14"/>
      <c r="H27" s="37">
        <f>H28+H29</f>
        <v>0</v>
      </c>
      <c r="I27" s="37">
        <f t="shared" ref="I27:N27" si="19">I28+I29</f>
        <v>0</v>
      </c>
      <c r="J27" s="37">
        <f t="shared" si="19"/>
        <v>0</v>
      </c>
      <c r="K27" s="38">
        <f t="shared" si="19"/>
        <v>0</v>
      </c>
      <c r="L27" s="38">
        <f t="shared" si="19"/>
        <v>0</v>
      </c>
      <c r="M27" s="38">
        <f t="shared" si="19"/>
        <v>0</v>
      </c>
      <c r="N27" s="39">
        <f t="shared" si="19"/>
        <v>0</v>
      </c>
      <c r="O27" s="37">
        <f>O28+O29</f>
        <v>0</v>
      </c>
      <c r="P27" s="60">
        <f>P28+P29</f>
        <v>0</v>
      </c>
      <c r="Q27" s="37">
        <f t="shared" si="15"/>
        <v>0</v>
      </c>
      <c r="R27" s="37"/>
      <c r="S27" s="37"/>
      <c r="T27" s="37"/>
      <c r="U27" s="37"/>
      <c r="V27" s="37"/>
      <c r="W27" s="183">
        <f t="shared" si="16"/>
        <v>0</v>
      </c>
      <c r="X27" s="320"/>
      <c r="Y27" s="320"/>
      <c r="Z27" s="353"/>
      <c r="AA27" s="37"/>
      <c r="AB27" s="37">
        <f t="shared" si="17"/>
        <v>0</v>
      </c>
    </row>
    <row r="28" spans="1:28" hidden="1" x14ac:dyDescent="0.2">
      <c r="A28" s="44" t="s">
        <v>37</v>
      </c>
      <c r="B28" s="45"/>
      <c r="C28" s="14"/>
      <c r="D28" s="14"/>
      <c r="E28" s="15"/>
      <c r="F28" s="14"/>
      <c r="G28" s="14" t="s">
        <v>38</v>
      </c>
      <c r="H28" s="37">
        <v>0</v>
      </c>
      <c r="I28" s="37">
        <f t="shared" si="18"/>
        <v>0</v>
      </c>
      <c r="J28" s="37">
        <v>0</v>
      </c>
      <c r="K28" s="38">
        <v>0</v>
      </c>
      <c r="L28" s="38">
        <v>0</v>
      </c>
      <c r="M28" s="38">
        <v>0</v>
      </c>
      <c r="N28" s="39">
        <f>H28+I28</f>
        <v>0</v>
      </c>
      <c r="O28" s="37">
        <v>0</v>
      </c>
      <c r="P28" s="60">
        <v>0</v>
      </c>
      <c r="Q28" s="37">
        <f t="shared" si="15"/>
        <v>0</v>
      </c>
      <c r="R28" s="37"/>
      <c r="S28" s="37"/>
      <c r="T28" s="37"/>
      <c r="U28" s="37"/>
      <c r="V28" s="37"/>
      <c r="W28" s="183">
        <f t="shared" si="16"/>
        <v>0</v>
      </c>
      <c r="X28" s="320"/>
      <c r="Y28" s="320"/>
      <c r="Z28" s="353"/>
      <c r="AA28" s="37"/>
      <c r="AB28" s="37">
        <f t="shared" si="17"/>
        <v>0</v>
      </c>
    </row>
    <row r="29" spans="1:28" hidden="1" x14ac:dyDescent="0.2">
      <c r="A29" s="12" t="s">
        <v>47</v>
      </c>
      <c r="B29" s="13"/>
      <c r="C29" s="14"/>
      <c r="D29" s="14"/>
      <c r="E29" s="15"/>
      <c r="F29" s="14"/>
      <c r="G29" s="14" t="s">
        <v>49</v>
      </c>
      <c r="H29" s="37">
        <v>0</v>
      </c>
      <c r="I29" s="37">
        <f t="shared" si="18"/>
        <v>0</v>
      </c>
      <c r="J29" s="37">
        <v>0</v>
      </c>
      <c r="K29" s="38">
        <v>0</v>
      </c>
      <c r="L29" s="38">
        <v>0</v>
      </c>
      <c r="M29" s="38">
        <v>0</v>
      </c>
      <c r="N29" s="39">
        <f>H29+I29</f>
        <v>0</v>
      </c>
      <c r="O29" s="37">
        <v>0</v>
      </c>
      <c r="P29" s="60">
        <v>0</v>
      </c>
      <c r="Q29" s="37">
        <f t="shared" si="15"/>
        <v>0</v>
      </c>
      <c r="R29" s="37"/>
      <c r="S29" s="37"/>
      <c r="T29" s="37"/>
      <c r="U29" s="37"/>
      <c r="V29" s="37"/>
      <c r="W29" s="183">
        <f t="shared" si="16"/>
        <v>0</v>
      </c>
      <c r="X29" s="320"/>
      <c r="Y29" s="320"/>
      <c r="Z29" s="353"/>
      <c r="AA29" s="37"/>
      <c r="AB29" s="37">
        <f t="shared" si="17"/>
        <v>0</v>
      </c>
    </row>
    <row r="30" spans="1:28" hidden="1" x14ac:dyDescent="0.2">
      <c r="A30" s="12" t="s">
        <v>50</v>
      </c>
      <c r="B30" s="48">
        <v>804</v>
      </c>
      <c r="C30" s="49" t="s">
        <v>32</v>
      </c>
      <c r="D30" s="42" t="s">
        <v>34</v>
      </c>
      <c r="E30" s="50" t="s">
        <v>46</v>
      </c>
      <c r="F30" s="49" t="s">
        <v>51</v>
      </c>
      <c r="G30" s="49"/>
      <c r="H30" s="51">
        <f t="shared" ref="H30:N30" si="20">SUM(H31:H33)</f>
        <v>0</v>
      </c>
      <c r="I30" s="51">
        <f t="shared" si="20"/>
        <v>0</v>
      </c>
      <c r="J30" s="51">
        <f t="shared" si="20"/>
        <v>0</v>
      </c>
      <c r="K30" s="52">
        <f t="shared" si="20"/>
        <v>0</v>
      </c>
      <c r="L30" s="52">
        <f t="shared" si="20"/>
        <v>0</v>
      </c>
      <c r="M30" s="52">
        <f t="shared" si="20"/>
        <v>0</v>
      </c>
      <c r="N30" s="53">
        <f t="shared" si="20"/>
        <v>0</v>
      </c>
      <c r="O30" s="51">
        <f>SUM(O31:O33)</f>
        <v>0</v>
      </c>
      <c r="P30" s="282">
        <f>SUM(P31:P33)</f>
        <v>0</v>
      </c>
      <c r="Q30" s="37">
        <f t="shared" si="15"/>
        <v>0</v>
      </c>
      <c r="R30" s="51"/>
      <c r="S30" s="51"/>
      <c r="T30" s="51"/>
      <c r="U30" s="51"/>
      <c r="V30" s="51"/>
      <c r="W30" s="183">
        <f t="shared" si="16"/>
        <v>0</v>
      </c>
      <c r="X30" s="320"/>
      <c r="Y30" s="320"/>
      <c r="Z30" s="353"/>
      <c r="AA30" s="51"/>
      <c r="AB30" s="37">
        <f t="shared" si="17"/>
        <v>0</v>
      </c>
    </row>
    <row r="31" spans="1:28" hidden="1" x14ac:dyDescent="0.2">
      <c r="A31" s="46" t="s">
        <v>52</v>
      </c>
      <c r="B31" s="47"/>
      <c r="C31" s="14"/>
      <c r="D31" s="14"/>
      <c r="E31" s="15"/>
      <c r="F31" s="14"/>
      <c r="G31" s="14" t="s">
        <v>53</v>
      </c>
      <c r="H31" s="37">
        <v>0</v>
      </c>
      <c r="I31" s="37">
        <f t="shared" si="18"/>
        <v>0</v>
      </c>
      <c r="J31" s="37">
        <v>0</v>
      </c>
      <c r="K31" s="38">
        <v>0</v>
      </c>
      <c r="L31" s="38">
        <v>0</v>
      </c>
      <c r="M31" s="38">
        <v>0</v>
      </c>
      <c r="N31" s="39">
        <f>H31+I31</f>
        <v>0</v>
      </c>
      <c r="O31" s="37">
        <v>0</v>
      </c>
      <c r="P31" s="60">
        <v>0</v>
      </c>
      <c r="Q31" s="37">
        <f t="shared" si="15"/>
        <v>0</v>
      </c>
      <c r="R31" s="37"/>
      <c r="S31" s="37"/>
      <c r="T31" s="37"/>
      <c r="U31" s="37"/>
      <c r="V31" s="37"/>
      <c r="W31" s="183">
        <f t="shared" si="16"/>
        <v>0</v>
      </c>
      <c r="X31" s="320"/>
      <c r="Y31" s="320"/>
      <c r="Z31" s="353"/>
      <c r="AA31" s="37"/>
      <c r="AB31" s="37">
        <f t="shared" si="17"/>
        <v>0</v>
      </c>
    </row>
    <row r="32" spans="1:28" ht="25.5" hidden="1" x14ac:dyDescent="0.2">
      <c r="A32" s="46" t="s">
        <v>54</v>
      </c>
      <c r="B32" s="47"/>
      <c r="C32" s="14"/>
      <c r="D32" s="14"/>
      <c r="E32" s="15"/>
      <c r="F32" s="14"/>
      <c r="G32" s="14"/>
      <c r="H32" s="37">
        <v>0</v>
      </c>
      <c r="I32" s="37">
        <f>SUM(J32:M32)</f>
        <v>0</v>
      </c>
      <c r="J32" s="37">
        <v>0</v>
      </c>
      <c r="K32" s="38">
        <v>0</v>
      </c>
      <c r="L32" s="38">
        <v>0</v>
      </c>
      <c r="M32" s="38">
        <v>0</v>
      </c>
      <c r="N32" s="39">
        <f>H32+I32</f>
        <v>0</v>
      </c>
      <c r="O32" s="37">
        <v>0</v>
      </c>
      <c r="P32" s="60">
        <v>0</v>
      </c>
      <c r="Q32" s="37">
        <f t="shared" si="15"/>
        <v>0</v>
      </c>
      <c r="R32" s="37"/>
      <c r="S32" s="37"/>
      <c r="T32" s="37"/>
      <c r="U32" s="37"/>
      <c r="V32" s="37"/>
      <c r="W32" s="183">
        <f t="shared" si="16"/>
        <v>0</v>
      </c>
      <c r="X32" s="320"/>
      <c r="Y32" s="320"/>
      <c r="Z32" s="353"/>
      <c r="AA32" s="37"/>
      <c r="AB32" s="37">
        <f t="shared" si="17"/>
        <v>0</v>
      </c>
    </row>
    <row r="33" spans="1:28" ht="25.5" hidden="1" x14ac:dyDescent="0.2">
      <c r="A33" s="46" t="s">
        <v>55</v>
      </c>
      <c r="B33" s="47"/>
      <c r="C33" s="14"/>
      <c r="D33" s="14"/>
      <c r="E33" s="15"/>
      <c r="F33" s="14"/>
      <c r="G33" s="14" t="s">
        <v>56</v>
      </c>
      <c r="H33" s="37">
        <v>0</v>
      </c>
      <c r="I33" s="37">
        <f t="shared" si="18"/>
        <v>0</v>
      </c>
      <c r="J33" s="37">
        <v>0</v>
      </c>
      <c r="K33" s="38">
        <v>0</v>
      </c>
      <c r="L33" s="38">
        <v>0</v>
      </c>
      <c r="M33" s="38">
        <v>0</v>
      </c>
      <c r="N33" s="39">
        <f>H33+I33</f>
        <v>0</v>
      </c>
      <c r="O33" s="37">
        <v>0</v>
      </c>
      <c r="P33" s="60">
        <v>0</v>
      </c>
      <c r="Q33" s="37">
        <f t="shared" si="15"/>
        <v>0</v>
      </c>
      <c r="R33" s="37"/>
      <c r="S33" s="37"/>
      <c r="T33" s="37"/>
      <c r="U33" s="37"/>
      <c r="V33" s="37"/>
      <c r="W33" s="183">
        <f t="shared" si="16"/>
        <v>0</v>
      </c>
      <c r="X33" s="320"/>
      <c r="Y33" s="320"/>
      <c r="Z33" s="353"/>
      <c r="AA33" s="37"/>
      <c r="AB33" s="37">
        <f t="shared" si="17"/>
        <v>0</v>
      </c>
    </row>
    <row r="34" spans="1:28" hidden="1" x14ac:dyDescent="0.2">
      <c r="A34" s="12" t="s">
        <v>57</v>
      </c>
      <c r="B34" s="48">
        <v>804</v>
      </c>
      <c r="C34" s="49" t="s">
        <v>32</v>
      </c>
      <c r="D34" s="42" t="s">
        <v>34</v>
      </c>
      <c r="E34" s="50" t="s">
        <v>46</v>
      </c>
      <c r="F34" s="49" t="s">
        <v>58</v>
      </c>
      <c r="G34" s="49"/>
      <c r="H34" s="51">
        <f>SUM(H35:H37)</f>
        <v>0</v>
      </c>
      <c r="I34" s="51">
        <f t="shared" ref="I34:N34" si="21">SUM(I35:I37)</f>
        <v>997.65</v>
      </c>
      <c r="J34" s="51">
        <f t="shared" si="21"/>
        <v>997.65</v>
      </c>
      <c r="K34" s="51">
        <f t="shared" si="21"/>
        <v>0</v>
      </c>
      <c r="L34" s="51">
        <f t="shared" si="21"/>
        <v>0</v>
      </c>
      <c r="M34" s="51">
        <f t="shared" si="21"/>
        <v>0</v>
      </c>
      <c r="N34" s="51">
        <f t="shared" si="21"/>
        <v>997.65</v>
      </c>
      <c r="O34" s="51">
        <f>SUM(O35:O37)</f>
        <v>0</v>
      </c>
      <c r="P34" s="282">
        <f>SUM(P35:P37)</f>
        <v>0</v>
      </c>
      <c r="Q34" s="37">
        <f t="shared" si="15"/>
        <v>0</v>
      </c>
      <c r="R34" s="51"/>
      <c r="S34" s="51"/>
      <c r="T34" s="51"/>
      <c r="U34" s="51"/>
      <c r="V34" s="51"/>
      <c r="W34" s="183">
        <f t="shared" si="16"/>
        <v>0</v>
      </c>
      <c r="X34" s="320"/>
      <c r="Y34" s="320"/>
      <c r="Z34" s="353"/>
      <c r="AA34" s="51"/>
      <c r="AB34" s="37">
        <f t="shared" si="17"/>
        <v>0</v>
      </c>
    </row>
    <row r="35" spans="1:28" ht="25.5" hidden="1" x14ac:dyDescent="0.2">
      <c r="A35" s="44" t="s">
        <v>59</v>
      </c>
      <c r="B35" s="45"/>
      <c r="C35" s="14"/>
      <c r="D35" s="14"/>
      <c r="E35" s="15"/>
      <c r="F35" s="14"/>
      <c r="G35" s="14" t="s">
        <v>60</v>
      </c>
      <c r="H35" s="37">
        <v>0</v>
      </c>
      <c r="I35" s="37">
        <f t="shared" si="18"/>
        <v>0</v>
      </c>
      <c r="J35" s="37">
        <v>0</v>
      </c>
      <c r="K35" s="38">
        <v>0</v>
      </c>
      <c r="L35" s="38">
        <v>0</v>
      </c>
      <c r="M35" s="38">
        <v>0</v>
      </c>
      <c r="N35" s="39">
        <f>H35+I35</f>
        <v>0</v>
      </c>
      <c r="O35" s="37">
        <v>0</v>
      </c>
      <c r="P35" s="60">
        <v>0</v>
      </c>
      <c r="Q35" s="37">
        <f t="shared" si="15"/>
        <v>0</v>
      </c>
      <c r="R35" s="37"/>
      <c r="S35" s="37"/>
      <c r="T35" s="37"/>
      <c r="U35" s="37"/>
      <c r="V35" s="37"/>
      <c r="W35" s="183">
        <f t="shared" si="16"/>
        <v>0</v>
      </c>
      <c r="X35" s="320"/>
      <c r="Y35" s="320"/>
      <c r="Z35" s="353"/>
      <c r="AA35" s="37"/>
      <c r="AB35" s="37">
        <f t="shared" si="17"/>
        <v>0</v>
      </c>
    </row>
    <row r="36" spans="1:28" ht="25.5" hidden="1" x14ac:dyDescent="0.2">
      <c r="A36" s="44" t="s">
        <v>61</v>
      </c>
      <c r="B36" s="45"/>
      <c r="C36" s="14"/>
      <c r="D36" s="14"/>
      <c r="E36" s="15"/>
      <c r="F36" s="14"/>
      <c r="G36" s="14" t="s">
        <v>62</v>
      </c>
      <c r="H36" s="37">
        <v>0</v>
      </c>
      <c r="I36" s="37">
        <f t="shared" si="18"/>
        <v>997.65</v>
      </c>
      <c r="J36" s="37">
        <v>997.65</v>
      </c>
      <c r="K36" s="38"/>
      <c r="L36" s="38"/>
      <c r="M36" s="38"/>
      <c r="N36" s="39">
        <f>H36+I36</f>
        <v>997.65</v>
      </c>
      <c r="O36" s="37">
        <v>0</v>
      </c>
      <c r="P36" s="60">
        <v>0</v>
      </c>
      <c r="Q36" s="37">
        <f t="shared" si="15"/>
        <v>0</v>
      </c>
      <c r="R36" s="37"/>
      <c r="S36" s="37"/>
      <c r="T36" s="37"/>
      <c r="U36" s="37"/>
      <c r="V36" s="37"/>
      <c r="W36" s="183">
        <f t="shared" si="16"/>
        <v>0</v>
      </c>
      <c r="X36" s="320"/>
      <c r="Y36" s="320"/>
      <c r="Z36" s="353"/>
      <c r="AA36" s="37"/>
      <c r="AB36" s="37">
        <f t="shared" si="17"/>
        <v>0</v>
      </c>
    </row>
    <row r="37" spans="1:28" hidden="1" x14ac:dyDescent="0.2">
      <c r="A37" s="44" t="s">
        <v>63</v>
      </c>
      <c r="B37" s="45"/>
      <c r="C37" s="14"/>
      <c r="D37" s="14"/>
      <c r="E37" s="15"/>
      <c r="F37" s="14"/>
      <c r="G37" s="14" t="s">
        <v>64</v>
      </c>
      <c r="H37" s="37">
        <v>0</v>
      </c>
      <c r="I37" s="37">
        <f t="shared" si="18"/>
        <v>0</v>
      </c>
      <c r="J37" s="37">
        <v>0</v>
      </c>
      <c r="K37" s="38">
        <v>0</v>
      </c>
      <c r="L37" s="38">
        <v>0</v>
      </c>
      <c r="M37" s="38">
        <v>0</v>
      </c>
      <c r="N37" s="39">
        <f>H37+I37</f>
        <v>0</v>
      </c>
      <c r="O37" s="37">
        <v>0</v>
      </c>
      <c r="P37" s="60">
        <v>0</v>
      </c>
      <c r="Q37" s="37">
        <f t="shared" si="15"/>
        <v>0</v>
      </c>
      <c r="R37" s="37"/>
      <c r="S37" s="37"/>
      <c r="T37" s="37"/>
      <c r="U37" s="37"/>
      <c r="V37" s="37"/>
      <c r="W37" s="183">
        <f t="shared" si="16"/>
        <v>0</v>
      </c>
      <c r="X37" s="320"/>
      <c r="Y37" s="320"/>
      <c r="Z37" s="353"/>
      <c r="AA37" s="37"/>
      <c r="AB37" s="37">
        <f t="shared" si="17"/>
        <v>0</v>
      </c>
    </row>
    <row r="38" spans="1:28" hidden="1" x14ac:dyDescent="0.2">
      <c r="A38" s="29" t="s">
        <v>65</v>
      </c>
      <c r="B38" s="30">
        <v>804</v>
      </c>
      <c r="C38" s="31" t="s">
        <v>32</v>
      </c>
      <c r="D38" s="42" t="s">
        <v>34</v>
      </c>
      <c r="E38" s="32" t="s">
        <v>46</v>
      </c>
      <c r="F38" s="31" t="s">
        <v>66</v>
      </c>
      <c r="G38" s="31"/>
      <c r="H38" s="51">
        <f>SUM(H39:H40)</f>
        <v>0</v>
      </c>
      <c r="I38" s="51">
        <f t="shared" ref="I38:N38" si="22">SUM(I39:I40)</f>
        <v>1500</v>
      </c>
      <c r="J38" s="51">
        <f t="shared" si="22"/>
        <v>1500</v>
      </c>
      <c r="K38" s="51">
        <f t="shared" si="22"/>
        <v>0</v>
      </c>
      <c r="L38" s="51">
        <f t="shared" si="22"/>
        <v>0</v>
      </c>
      <c r="M38" s="51">
        <f t="shared" si="22"/>
        <v>0</v>
      </c>
      <c r="N38" s="51">
        <f t="shared" si="22"/>
        <v>1500</v>
      </c>
      <c r="O38" s="51">
        <f>SUM(O39:O40)</f>
        <v>0</v>
      </c>
      <c r="P38" s="282">
        <f>SUM(P39:P40)</f>
        <v>0</v>
      </c>
      <c r="Q38" s="37">
        <f t="shared" si="15"/>
        <v>0</v>
      </c>
      <c r="R38" s="51"/>
      <c r="S38" s="51"/>
      <c r="T38" s="51"/>
      <c r="U38" s="51"/>
      <c r="V38" s="51"/>
      <c r="W38" s="183">
        <f t="shared" si="16"/>
        <v>0</v>
      </c>
      <c r="X38" s="320"/>
      <c r="Y38" s="320"/>
      <c r="Z38" s="353"/>
      <c r="AA38" s="51"/>
      <c r="AB38" s="37">
        <f t="shared" si="17"/>
        <v>0</v>
      </c>
    </row>
    <row r="39" spans="1:28" ht="25.5" hidden="1" x14ac:dyDescent="0.2">
      <c r="A39" s="44" t="s">
        <v>67</v>
      </c>
      <c r="B39" s="45"/>
      <c r="C39" s="14"/>
      <c r="D39" s="14"/>
      <c r="E39" s="15"/>
      <c r="F39" s="14"/>
      <c r="G39" s="14" t="s">
        <v>68</v>
      </c>
      <c r="H39" s="37">
        <v>0</v>
      </c>
      <c r="I39" s="37">
        <f t="shared" si="18"/>
        <v>0</v>
      </c>
      <c r="J39" s="37"/>
      <c r="K39" s="38"/>
      <c r="L39" s="38"/>
      <c r="M39" s="38"/>
      <c r="N39" s="39">
        <f>H39+I39</f>
        <v>0</v>
      </c>
      <c r="O39" s="37">
        <v>0</v>
      </c>
      <c r="P39" s="60">
        <v>0</v>
      </c>
      <c r="Q39" s="37">
        <f t="shared" si="15"/>
        <v>0</v>
      </c>
      <c r="R39" s="37"/>
      <c r="S39" s="37"/>
      <c r="T39" s="37"/>
      <c r="U39" s="37"/>
      <c r="V39" s="37"/>
      <c r="W39" s="183">
        <f t="shared" si="16"/>
        <v>0</v>
      </c>
      <c r="X39" s="320"/>
      <c r="Y39" s="320"/>
      <c r="Z39" s="353"/>
      <c r="AA39" s="37"/>
      <c r="AB39" s="37">
        <f t="shared" si="17"/>
        <v>0</v>
      </c>
    </row>
    <row r="40" spans="1:28" hidden="1" x14ac:dyDescent="0.2">
      <c r="A40" s="44" t="s">
        <v>65</v>
      </c>
      <c r="B40" s="45"/>
      <c r="C40" s="14"/>
      <c r="D40" s="14"/>
      <c r="E40" s="15"/>
      <c r="F40" s="14"/>
      <c r="G40" s="14" t="s">
        <v>69</v>
      </c>
      <c r="H40" s="37">
        <v>0</v>
      </c>
      <c r="I40" s="37">
        <f t="shared" si="18"/>
        <v>1500</v>
      </c>
      <c r="J40" s="37">
        <v>1500</v>
      </c>
      <c r="K40" s="38"/>
      <c r="L40" s="38"/>
      <c r="M40" s="38"/>
      <c r="N40" s="39">
        <f>H40+I40</f>
        <v>1500</v>
      </c>
      <c r="O40" s="37">
        <v>0</v>
      </c>
      <c r="P40" s="60">
        <v>0</v>
      </c>
      <c r="Q40" s="37">
        <f t="shared" si="15"/>
        <v>0</v>
      </c>
      <c r="R40" s="37"/>
      <c r="S40" s="37"/>
      <c r="T40" s="37"/>
      <c r="U40" s="37"/>
      <c r="V40" s="37"/>
      <c r="W40" s="183">
        <f t="shared" si="16"/>
        <v>0</v>
      </c>
      <c r="X40" s="320"/>
      <c r="Y40" s="320"/>
      <c r="Z40" s="353"/>
      <c r="AA40" s="37"/>
      <c r="AB40" s="37">
        <f t="shared" si="17"/>
        <v>0</v>
      </c>
    </row>
    <row r="41" spans="1:28" ht="25.5" hidden="1" x14ac:dyDescent="0.2">
      <c r="A41" s="44" t="s">
        <v>107</v>
      </c>
      <c r="B41" s="45">
        <v>804</v>
      </c>
      <c r="C41" s="14" t="s">
        <v>32</v>
      </c>
      <c r="D41" s="36" t="s">
        <v>34</v>
      </c>
      <c r="E41" s="15" t="s">
        <v>44</v>
      </c>
      <c r="F41" s="14" t="s">
        <v>58</v>
      </c>
      <c r="G41" s="14" t="s">
        <v>60</v>
      </c>
      <c r="H41" s="37"/>
      <c r="I41" s="37"/>
      <c r="J41" s="37"/>
      <c r="K41" s="38"/>
      <c r="L41" s="38"/>
      <c r="M41" s="38"/>
      <c r="N41" s="39"/>
      <c r="O41" s="37"/>
      <c r="P41" s="60">
        <v>0</v>
      </c>
      <c r="Q41" s="37">
        <f t="shared" si="15"/>
        <v>0</v>
      </c>
      <c r="R41" s="37"/>
      <c r="S41" s="37"/>
      <c r="T41" s="37"/>
      <c r="U41" s="37">
        <v>0</v>
      </c>
      <c r="V41" s="37"/>
      <c r="W41" s="183">
        <f t="shared" si="16"/>
        <v>0</v>
      </c>
      <c r="X41" s="320"/>
      <c r="Y41" s="320"/>
      <c r="Z41" s="353"/>
      <c r="AA41" s="37"/>
      <c r="AB41" s="37">
        <f t="shared" si="17"/>
        <v>0</v>
      </c>
    </row>
    <row r="42" spans="1:28" x14ac:dyDescent="0.2">
      <c r="A42" s="29" t="s">
        <v>70</v>
      </c>
      <c r="B42" s="30">
        <v>804</v>
      </c>
      <c r="C42" s="31" t="s">
        <v>32</v>
      </c>
      <c r="D42" s="42" t="s">
        <v>34</v>
      </c>
      <c r="E42" s="32" t="s">
        <v>46</v>
      </c>
      <c r="F42" s="31" t="s">
        <v>71</v>
      </c>
      <c r="G42" s="31"/>
      <c r="H42" s="33">
        <f t="shared" ref="H42:N42" si="23">H43+H45</f>
        <v>35000</v>
      </c>
      <c r="I42" s="33">
        <f t="shared" si="23"/>
        <v>0</v>
      </c>
      <c r="J42" s="33">
        <f t="shared" si="23"/>
        <v>0</v>
      </c>
      <c r="K42" s="34">
        <f t="shared" si="23"/>
        <v>0</v>
      </c>
      <c r="L42" s="34">
        <f t="shared" si="23"/>
        <v>0</v>
      </c>
      <c r="M42" s="34">
        <f t="shared" si="23"/>
        <v>0</v>
      </c>
      <c r="N42" s="35">
        <f t="shared" si="23"/>
        <v>35000</v>
      </c>
      <c r="O42" s="33">
        <f>O43+O45</f>
        <v>28000</v>
      </c>
      <c r="P42" s="281">
        <f>P43+P45</f>
        <v>24000</v>
      </c>
      <c r="Q42" s="281">
        <f>Q43+Q45</f>
        <v>0</v>
      </c>
      <c r="R42" s="281">
        <f t="shared" ref="R42:W42" si="24">R43+R45</f>
        <v>0</v>
      </c>
      <c r="S42" s="281">
        <f t="shared" si="24"/>
        <v>0</v>
      </c>
      <c r="T42" s="281">
        <f>T43+T45</f>
        <v>0</v>
      </c>
      <c r="U42" s="281">
        <f>U43+U45</f>
        <v>0</v>
      </c>
      <c r="V42" s="281">
        <f>V43+V45</f>
        <v>0</v>
      </c>
      <c r="W42" s="285">
        <f t="shared" si="24"/>
        <v>24000</v>
      </c>
      <c r="X42" s="320"/>
      <c r="Y42" s="320"/>
      <c r="Z42" s="353"/>
      <c r="AA42" s="281">
        <f>AA43+AA45</f>
        <v>22972</v>
      </c>
      <c r="AB42" s="281">
        <f t="shared" ref="AB42" si="25">AB43+AB45</f>
        <v>24000</v>
      </c>
    </row>
    <row r="43" spans="1:28" hidden="1" x14ac:dyDescent="0.2">
      <c r="A43" s="12" t="s">
        <v>72</v>
      </c>
      <c r="B43" s="13">
        <v>804</v>
      </c>
      <c r="C43" s="14" t="s">
        <v>32</v>
      </c>
      <c r="D43" s="36" t="s">
        <v>34</v>
      </c>
      <c r="E43" s="15" t="s">
        <v>46</v>
      </c>
      <c r="F43" s="14" t="s">
        <v>73</v>
      </c>
      <c r="G43" s="14"/>
      <c r="H43" s="37">
        <f t="shared" ref="H43:P43" si="26">H44</f>
        <v>0</v>
      </c>
      <c r="I43" s="37">
        <f t="shared" si="26"/>
        <v>0</v>
      </c>
      <c r="J43" s="37">
        <f t="shared" si="26"/>
        <v>0</v>
      </c>
      <c r="K43" s="38">
        <f t="shared" si="26"/>
        <v>0</v>
      </c>
      <c r="L43" s="38">
        <f t="shared" si="26"/>
        <v>0</v>
      </c>
      <c r="M43" s="38">
        <f t="shared" si="26"/>
        <v>0</v>
      </c>
      <c r="N43" s="39">
        <f t="shared" si="26"/>
        <v>0</v>
      </c>
      <c r="O43" s="37">
        <f t="shared" si="26"/>
        <v>0</v>
      </c>
      <c r="P43" s="60">
        <f t="shared" si="26"/>
        <v>0</v>
      </c>
      <c r="Q43" s="37"/>
      <c r="R43" s="37"/>
      <c r="S43" s="37"/>
      <c r="T43" s="37"/>
      <c r="U43" s="37"/>
      <c r="V43" s="37"/>
      <c r="W43" s="183"/>
      <c r="X43" s="320"/>
      <c r="Y43" s="320"/>
      <c r="Z43" s="353"/>
      <c r="AA43" s="37"/>
      <c r="AB43" s="37"/>
    </row>
    <row r="44" spans="1:28" ht="51" hidden="1" x14ac:dyDescent="0.2">
      <c r="A44" s="46" t="s">
        <v>74</v>
      </c>
      <c r="B44" s="47"/>
      <c r="C44" s="14"/>
      <c r="D44" s="14"/>
      <c r="E44" s="15"/>
      <c r="F44" s="14"/>
      <c r="G44" s="14" t="s">
        <v>75</v>
      </c>
      <c r="H44" s="37">
        <v>0</v>
      </c>
      <c r="I44" s="37">
        <f>SUM(J44:M44)</f>
        <v>0</v>
      </c>
      <c r="J44" s="37">
        <v>0</v>
      </c>
      <c r="K44" s="38">
        <v>0</v>
      </c>
      <c r="L44" s="38">
        <v>0</v>
      </c>
      <c r="M44" s="38">
        <v>0</v>
      </c>
      <c r="N44" s="39">
        <f>H44+I44</f>
        <v>0</v>
      </c>
      <c r="O44" s="37">
        <v>0</v>
      </c>
      <c r="P44" s="60">
        <v>0</v>
      </c>
      <c r="Q44" s="37"/>
      <c r="R44" s="37"/>
      <c r="S44" s="37"/>
      <c r="T44" s="37"/>
      <c r="U44" s="37"/>
      <c r="V44" s="37"/>
      <c r="W44" s="183"/>
      <c r="X44" s="320"/>
      <c r="Y44" s="320"/>
      <c r="Z44" s="353"/>
      <c r="AA44" s="37"/>
      <c r="AB44" s="37"/>
    </row>
    <row r="45" spans="1:28" s="58" customFormat="1" ht="25.5" x14ac:dyDescent="0.2">
      <c r="A45" s="54" t="s">
        <v>76</v>
      </c>
      <c r="B45" s="48">
        <v>804</v>
      </c>
      <c r="C45" s="55" t="s">
        <v>32</v>
      </c>
      <c r="D45" s="42" t="s">
        <v>34</v>
      </c>
      <c r="E45" s="56" t="s">
        <v>19</v>
      </c>
      <c r="F45" s="55" t="s">
        <v>77</v>
      </c>
      <c r="G45" s="55"/>
      <c r="H45" s="57">
        <f t="shared" ref="H45:N45" si="27">SUM(H46:H48)</f>
        <v>35000</v>
      </c>
      <c r="I45" s="51">
        <f t="shared" si="27"/>
        <v>0</v>
      </c>
      <c r="J45" s="51">
        <f t="shared" si="27"/>
        <v>0</v>
      </c>
      <c r="K45" s="52">
        <f t="shared" si="27"/>
        <v>0</v>
      </c>
      <c r="L45" s="52">
        <f t="shared" si="27"/>
        <v>0</v>
      </c>
      <c r="M45" s="52">
        <f t="shared" si="27"/>
        <v>0</v>
      </c>
      <c r="N45" s="53">
        <f t="shared" si="27"/>
        <v>35000</v>
      </c>
      <c r="O45" s="57">
        <f>SUM(O46:O48)</f>
        <v>28000</v>
      </c>
      <c r="P45" s="68">
        <f>SUM(P46:P49)</f>
        <v>24000</v>
      </c>
      <c r="Q45" s="68">
        <f>SUM(Q46:Q49)</f>
        <v>0</v>
      </c>
      <c r="R45" s="68">
        <f t="shared" ref="R45:S45" si="28">SUM(R46:R49)</f>
        <v>0</v>
      </c>
      <c r="S45" s="68">
        <f t="shared" si="28"/>
        <v>0</v>
      </c>
      <c r="T45" s="68">
        <f>SUM(T46:T49)</f>
        <v>0</v>
      </c>
      <c r="U45" s="68">
        <f>SUM(U46:U49)</f>
        <v>0</v>
      </c>
      <c r="V45" s="68">
        <f>SUM(V46:V49)</f>
        <v>0</v>
      </c>
      <c r="W45" s="399">
        <f>SUM(W46:W49)</f>
        <v>24000</v>
      </c>
      <c r="X45" s="321"/>
      <c r="Y45" s="321"/>
      <c r="Z45" s="356"/>
      <c r="AA45" s="68">
        <f>SUM(AA46:AA49)</f>
        <v>22972</v>
      </c>
      <c r="AB45" s="68">
        <f>SUM(AB46:AB49)</f>
        <v>24000</v>
      </c>
    </row>
    <row r="46" spans="1:28" ht="13.5" hidden="1" customHeight="1" x14ac:dyDescent="0.2">
      <c r="A46" s="12" t="s">
        <v>78</v>
      </c>
      <c r="B46" s="13"/>
      <c r="C46" s="14"/>
      <c r="D46" s="14"/>
      <c r="E46" s="15" t="s">
        <v>46</v>
      </c>
      <c r="F46" s="14"/>
      <c r="G46" s="14" t="s">
        <v>79</v>
      </c>
      <c r="H46" s="37">
        <v>5000</v>
      </c>
      <c r="I46" s="37">
        <f>SUM(J46:M46)</f>
        <v>0</v>
      </c>
      <c r="J46" s="37"/>
      <c r="K46" s="38"/>
      <c r="L46" s="38"/>
      <c r="M46" s="38"/>
      <c r="N46" s="39">
        <f>H46+I46</f>
        <v>5000</v>
      </c>
      <c r="O46" s="37">
        <f>5000*80%</f>
        <v>4000</v>
      </c>
      <c r="P46" s="60">
        <v>0</v>
      </c>
      <c r="Q46" s="37"/>
      <c r="R46" s="37"/>
      <c r="S46" s="37"/>
      <c r="T46" s="37"/>
      <c r="U46" s="37"/>
      <c r="V46" s="37"/>
      <c r="W46" s="183"/>
      <c r="X46" s="320"/>
      <c r="Y46" s="320"/>
      <c r="Z46" s="353"/>
      <c r="AA46" s="37"/>
      <c r="AB46" s="37"/>
    </row>
    <row r="47" spans="1:28" ht="25.5" x14ac:dyDescent="0.2">
      <c r="A47" s="46" t="s">
        <v>80</v>
      </c>
      <c r="B47" s="47"/>
      <c r="C47" s="14"/>
      <c r="D47" s="14"/>
      <c r="E47" s="15" t="s">
        <v>44</v>
      </c>
      <c r="F47" s="14"/>
      <c r="G47" s="14" t="s">
        <v>81</v>
      </c>
      <c r="H47" s="37">
        <v>20000</v>
      </c>
      <c r="I47" s="37">
        <f>SUM(J47:M47)</f>
        <v>0</v>
      </c>
      <c r="J47" s="37"/>
      <c r="K47" s="38"/>
      <c r="L47" s="38"/>
      <c r="M47" s="38"/>
      <c r="N47" s="39">
        <f>H47+I47</f>
        <v>20000</v>
      </c>
      <c r="O47" s="37">
        <f>20000*80%</f>
        <v>16000</v>
      </c>
      <c r="P47" s="60">
        <v>16000</v>
      </c>
      <c r="Q47" s="37">
        <f>R47+S47+T47+U47+V47</f>
        <v>0</v>
      </c>
      <c r="R47" s="37"/>
      <c r="S47" s="37"/>
      <c r="T47" s="37"/>
      <c r="U47" s="37"/>
      <c r="V47" s="37"/>
      <c r="W47" s="183">
        <v>16000</v>
      </c>
      <c r="X47" s="320"/>
      <c r="Y47" s="320"/>
      <c r="Z47" s="353"/>
      <c r="AA47" s="37">
        <v>16000</v>
      </c>
      <c r="AB47" s="37">
        <v>16000</v>
      </c>
    </row>
    <row r="48" spans="1:28" ht="25.5" x14ac:dyDescent="0.2">
      <c r="A48" s="46" t="s">
        <v>80</v>
      </c>
      <c r="B48" s="47"/>
      <c r="C48" s="14"/>
      <c r="D48" s="14"/>
      <c r="E48" s="15" t="s">
        <v>46</v>
      </c>
      <c r="F48" s="14"/>
      <c r="G48" s="14" t="s">
        <v>81</v>
      </c>
      <c r="H48" s="37">
        <v>10000</v>
      </c>
      <c r="I48" s="37">
        <f>SUM(J48:M48)</f>
        <v>0</v>
      </c>
      <c r="J48" s="37"/>
      <c r="K48" s="38"/>
      <c r="L48" s="38"/>
      <c r="M48" s="38"/>
      <c r="N48" s="39">
        <f>H48+I48</f>
        <v>10000</v>
      </c>
      <c r="O48" s="37">
        <f>10000*80%</f>
        <v>8000</v>
      </c>
      <c r="P48" s="60">
        <v>8000</v>
      </c>
      <c r="Q48" s="37">
        <f>R48+S48+T48+U48+V48</f>
        <v>0</v>
      </c>
      <c r="R48" s="37"/>
      <c r="S48" s="37"/>
      <c r="T48" s="37"/>
      <c r="U48" s="37"/>
      <c r="V48" s="37"/>
      <c r="W48" s="183">
        <v>8000</v>
      </c>
      <c r="X48" s="320"/>
      <c r="Y48" s="320"/>
      <c r="Z48" s="353"/>
      <c r="AA48" s="37">
        <v>6972</v>
      </c>
      <c r="AB48" s="37">
        <v>8000</v>
      </c>
    </row>
    <row r="49" spans="1:28" ht="25.5" hidden="1" x14ac:dyDescent="0.2">
      <c r="A49" s="46" t="s">
        <v>425</v>
      </c>
      <c r="B49" s="47"/>
      <c r="C49" s="14"/>
      <c r="D49" s="14"/>
      <c r="E49" s="15" t="s">
        <v>46</v>
      </c>
      <c r="F49" s="14"/>
      <c r="G49" s="14" t="s">
        <v>79</v>
      </c>
      <c r="H49" s="37"/>
      <c r="I49" s="37"/>
      <c r="J49" s="37"/>
      <c r="K49" s="38"/>
      <c r="L49" s="38"/>
      <c r="M49" s="38"/>
      <c r="N49" s="39"/>
      <c r="O49" s="37"/>
      <c r="P49" s="60">
        <v>0</v>
      </c>
      <c r="Q49" s="37">
        <f>R49+S49+T49+U49</f>
        <v>0</v>
      </c>
      <c r="R49" s="37">
        <v>0</v>
      </c>
      <c r="S49" s="37"/>
      <c r="T49" s="37"/>
      <c r="U49" s="37"/>
      <c r="V49" s="37"/>
      <c r="W49" s="37">
        <f>P49+Q49</f>
        <v>0</v>
      </c>
      <c r="X49" s="320"/>
      <c r="Y49" s="320"/>
      <c r="Z49" s="353"/>
      <c r="AA49" s="37">
        <v>0</v>
      </c>
      <c r="AB49" s="37">
        <f>U49+V49</f>
        <v>0</v>
      </c>
    </row>
    <row r="50" spans="1:28" ht="25.5" x14ac:dyDescent="0.2">
      <c r="A50" s="22" t="s">
        <v>82</v>
      </c>
      <c r="B50" s="23"/>
      <c r="C50" s="24" t="s">
        <v>83</v>
      </c>
      <c r="D50" s="24" t="s">
        <v>18</v>
      </c>
      <c r="E50" s="25" t="s">
        <v>19</v>
      </c>
      <c r="F50" s="24" t="s">
        <v>19</v>
      </c>
      <c r="G50" s="24"/>
      <c r="H50" s="26">
        <f t="shared" ref="H50:W51" si="29">H51</f>
        <v>15980184.85</v>
      </c>
      <c r="I50" s="26">
        <f t="shared" si="29"/>
        <v>666515.07000000007</v>
      </c>
      <c r="J50" s="26">
        <f t="shared" si="29"/>
        <v>-90223.260000000009</v>
      </c>
      <c r="K50" s="27">
        <f t="shared" si="29"/>
        <v>0</v>
      </c>
      <c r="L50" s="27">
        <f t="shared" si="29"/>
        <v>0</v>
      </c>
      <c r="M50" s="27">
        <f t="shared" si="29"/>
        <v>756738.33000000007</v>
      </c>
      <c r="N50" s="28">
        <f t="shared" si="29"/>
        <v>16626699.92</v>
      </c>
      <c r="O50" s="26">
        <f t="shared" si="29"/>
        <v>15389895.472000001</v>
      </c>
      <c r="P50" s="280">
        <f t="shared" si="29"/>
        <v>10451309.190000001</v>
      </c>
      <c r="Q50" s="280">
        <f t="shared" si="29"/>
        <v>167939.7</v>
      </c>
      <c r="R50" s="280">
        <f>R51</f>
        <v>-104091</v>
      </c>
      <c r="S50" s="280">
        <f t="shared" si="29"/>
        <v>272030.7</v>
      </c>
      <c r="T50" s="280">
        <f t="shared" si="29"/>
        <v>0</v>
      </c>
      <c r="U50" s="280">
        <f t="shared" si="29"/>
        <v>0</v>
      </c>
      <c r="V50" s="280">
        <f t="shared" si="29"/>
        <v>0</v>
      </c>
      <c r="W50" s="280">
        <f t="shared" si="29"/>
        <v>11885670.59</v>
      </c>
      <c r="X50" s="320"/>
      <c r="Y50" s="320"/>
      <c r="Z50" s="353"/>
      <c r="AA50" s="280">
        <f>AA51</f>
        <v>1905454.3000000003</v>
      </c>
      <c r="AB50" s="280">
        <f t="shared" ref="AB50:AB51" si="30">AB51</f>
        <v>11885670.59</v>
      </c>
    </row>
    <row r="51" spans="1:28" ht="25.5" x14ac:dyDescent="0.2">
      <c r="A51" s="29" t="s">
        <v>33</v>
      </c>
      <c r="B51" s="30">
        <v>804</v>
      </c>
      <c r="C51" s="31" t="s">
        <v>83</v>
      </c>
      <c r="D51" s="42" t="s">
        <v>34</v>
      </c>
      <c r="E51" s="32" t="s">
        <v>19</v>
      </c>
      <c r="F51" s="31" t="s">
        <v>19</v>
      </c>
      <c r="G51" s="31"/>
      <c r="H51" s="33">
        <f t="shared" si="29"/>
        <v>15980184.85</v>
      </c>
      <c r="I51" s="33">
        <f t="shared" si="29"/>
        <v>666515.07000000007</v>
      </c>
      <c r="J51" s="33">
        <f t="shared" si="29"/>
        <v>-90223.260000000009</v>
      </c>
      <c r="K51" s="34">
        <f t="shared" si="29"/>
        <v>0</v>
      </c>
      <c r="L51" s="34">
        <f t="shared" si="29"/>
        <v>0</v>
      </c>
      <c r="M51" s="34">
        <f t="shared" si="29"/>
        <v>756738.33000000007</v>
      </c>
      <c r="N51" s="35">
        <f t="shared" si="29"/>
        <v>16626699.92</v>
      </c>
      <c r="O51" s="33">
        <f t="shared" si="29"/>
        <v>15389895.472000001</v>
      </c>
      <c r="P51" s="281">
        <f t="shared" si="29"/>
        <v>10451309.190000001</v>
      </c>
      <c r="Q51" s="281">
        <f t="shared" si="29"/>
        <v>167939.7</v>
      </c>
      <c r="R51" s="281">
        <f t="shared" si="29"/>
        <v>-104091</v>
      </c>
      <c r="S51" s="281">
        <f t="shared" si="29"/>
        <v>272030.7</v>
      </c>
      <c r="T51" s="281">
        <f t="shared" si="29"/>
        <v>0</v>
      </c>
      <c r="U51" s="281">
        <f t="shared" si="29"/>
        <v>0</v>
      </c>
      <c r="V51" s="281">
        <f t="shared" si="29"/>
        <v>0</v>
      </c>
      <c r="W51" s="281">
        <f t="shared" si="29"/>
        <v>11885670.59</v>
      </c>
      <c r="X51" s="320"/>
      <c r="Y51" s="320"/>
      <c r="Z51" s="353"/>
      <c r="AA51" s="281">
        <f>AA52</f>
        <v>1905454.3000000003</v>
      </c>
      <c r="AB51" s="281">
        <f t="shared" si="30"/>
        <v>11885670.59</v>
      </c>
    </row>
    <row r="52" spans="1:28" x14ac:dyDescent="0.2">
      <c r="A52" s="29" t="s">
        <v>35</v>
      </c>
      <c r="B52" s="30">
        <v>804</v>
      </c>
      <c r="C52" s="31" t="s">
        <v>83</v>
      </c>
      <c r="D52" s="42" t="s">
        <v>34</v>
      </c>
      <c r="E52" s="32" t="s">
        <v>19</v>
      </c>
      <c r="F52" s="31" t="s">
        <v>19</v>
      </c>
      <c r="G52" s="31"/>
      <c r="H52" s="33">
        <f t="shared" ref="H52:N52" si="31">H53+H59+H88+H93+H86</f>
        <v>15980184.85</v>
      </c>
      <c r="I52" s="33">
        <f t="shared" si="31"/>
        <v>666515.07000000007</v>
      </c>
      <c r="J52" s="33">
        <f t="shared" si="31"/>
        <v>-90223.260000000009</v>
      </c>
      <c r="K52" s="34">
        <f t="shared" si="31"/>
        <v>0</v>
      </c>
      <c r="L52" s="34">
        <f t="shared" si="31"/>
        <v>0</v>
      </c>
      <c r="M52" s="34">
        <f t="shared" si="31"/>
        <v>756738.33000000007</v>
      </c>
      <c r="N52" s="34">
        <f t="shared" si="31"/>
        <v>16626699.92</v>
      </c>
      <c r="O52" s="33">
        <f>O53+O59+O88+O93+O86</f>
        <v>15389895.472000001</v>
      </c>
      <c r="P52" s="281">
        <f>P53+P59+P88+P93+P86</f>
        <v>10451309.190000001</v>
      </c>
      <c r="Q52" s="281">
        <f t="shared" ref="Q52:S52" si="32">Q53+Q59+Q88+Q93+Q86</f>
        <v>167939.7</v>
      </c>
      <c r="R52" s="281">
        <f>R53+R59+R88+R93+R86</f>
        <v>-104091</v>
      </c>
      <c r="S52" s="281">
        <f t="shared" si="32"/>
        <v>272030.7</v>
      </c>
      <c r="T52" s="281">
        <f>T53+T59+T88+T93+T86</f>
        <v>0</v>
      </c>
      <c r="U52" s="281">
        <f>U53+U59+U88+U93+U86</f>
        <v>0</v>
      </c>
      <c r="V52" s="281">
        <f>V53+V59+V88+V93+V86</f>
        <v>0</v>
      </c>
      <c r="W52" s="281">
        <f>W53+W59+W88+W93+W86</f>
        <v>11885670.59</v>
      </c>
      <c r="X52" s="320"/>
      <c r="Y52" s="320"/>
      <c r="Z52" s="353"/>
      <c r="AA52" s="281">
        <f>AA53+AA59+AA88+AA93+AA86</f>
        <v>1905454.3000000003</v>
      </c>
      <c r="AB52" s="281">
        <f>AB53+AB59+AB88+AB93+AB86</f>
        <v>11885670.59</v>
      </c>
    </row>
    <row r="53" spans="1:28" ht="25.5" x14ac:dyDescent="0.2">
      <c r="A53" s="29" t="s">
        <v>24</v>
      </c>
      <c r="B53" s="30">
        <v>804</v>
      </c>
      <c r="C53" s="31" t="s">
        <v>83</v>
      </c>
      <c r="D53" s="42" t="s">
        <v>34</v>
      </c>
      <c r="E53" s="32" t="s">
        <v>84</v>
      </c>
      <c r="F53" s="31" t="s">
        <v>25</v>
      </c>
      <c r="G53" s="31"/>
      <c r="H53" s="33">
        <f>H54+H55+H58</f>
        <v>6446619.2599999998</v>
      </c>
      <c r="I53" s="33">
        <f t="shared" ref="I53:N53" si="33">I54+I55+I58</f>
        <v>-100555.1</v>
      </c>
      <c r="J53" s="33">
        <f t="shared" si="33"/>
        <v>-100555.1</v>
      </c>
      <c r="K53" s="34">
        <f t="shared" si="33"/>
        <v>0</v>
      </c>
      <c r="L53" s="34">
        <f t="shared" si="33"/>
        <v>0</v>
      </c>
      <c r="M53" s="34">
        <f t="shared" si="33"/>
        <v>0</v>
      </c>
      <c r="N53" s="35">
        <f t="shared" si="33"/>
        <v>6346064.1600000001</v>
      </c>
      <c r="O53" s="33">
        <f>O54+O55+O58</f>
        <v>6446619.2599999998</v>
      </c>
      <c r="P53" s="281">
        <f>P54+P55+P58</f>
        <v>7053300.8600000003</v>
      </c>
      <c r="Q53" s="281">
        <f t="shared" ref="Q53:S53" si="34">Q54+Q55+Q58</f>
        <v>-104091</v>
      </c>
      <c r="R53" s="281">
        <f>R54+R55+R58</f>
        <v>-104091</v>
      </c>
      <c r="S53" s="281">
        <f t="shared" si="34"/>
        <v>0</v>
      </c>
      <c r="T53" s="281">
        <f>T54+T55+T58</f>
        <v>0</v>
      </c>
      <c r="U53" s="281">
        <f>U54+U55+U58</f>
        <v>0</v>
      </c>
      <c r="V53" s="281">
        <f>V54+V55+V58</f>
        <v>0</v>
      </c>
      <c r="W53" s="285">
        <f>W54+W55+W58</f>
        <v>7172195.75</v>
      </c>
      <c r="X53" s="320"/>
      <c r="Y53" s="320"/>
      <c r="Z53" s="353"/>
      <c r="AA53" s="281">
        <f>AA54+AA55+AA58</f>
        <v>470000</v>
      </c>
      <c r="AB53" s="281">
        <f t="shared" ref="AB53" si="35">AB54+AB55+AB58</f>
        <v>7172195.75</v>
      </c>
    </row>
    <row r="54" spans="1:28" x14ac:dyDescent="0.2">
      <c r="A54" s="12" t="s">
        <v>26</v>
      </c>
      <c r="B54" s="13">
        <v>804</v>
      </c>
      <c r="C54" s="14" t="s">
        <v>83</v>
      </c>
      <c r="D54" s="36" t="s">
        <v>34</v>
      </c>
      <c r="E54" s="15" t="s">
        <v>23</v>
      </c>
      <c r="F54" s="14" t="s">
        <v>27</v>
      </c>
      <c r="G54" s="14"/>
      <c r="H54" s="37">
        <f>4473514.99+47544.35</f>
        <v>4521059.34</v>
      </c>
      <c r="I54" s="37">
        <f>SUM(J54:M54)</f>
        <v>0</v>
      </c>
      <c r="J54" s="37">
        <v>0</v>
      </c>
      <c r="K54" s="38"/>
      <c r="L54" s="38">
        <v>0</v>
      </c>
      <c r="M54" s="38">
        <v>0</v>
      </c>
      <c r="N54" s="39">
        <f>H54+I54</f>
        <v>4521059.34</v>
      </c>
      <c r="O54" s="37">
        <f>4473514.99+47544.35</f>
        <v>4521059.34</v>
      </c>
      <c r="P54" s="60">
        <v>4979493.75</v>
      </c>
      <c r="Q54" s="37">
        <f>R54+S54+T54+U54+V54</f>
        <v>0</v>
      </c>
      <c r="R54" s="183">
        <v>0</v>
      </c>
      <c r="S54" s="37">
        <v>0</v>
      </c>
      <c r="T54" s="37"/>
      <c r="U54" s="37">
        <v>0</v>
      </c>
      <c r="V54" s="37"/>
      <c r="W54" s="183">
        <v>5178337.75</v>
      </c>
      <c r="X54" s="320"/>
      <c r="Y54" s="320"/>
      <c r="Z54" s="320"/>
      <c r="AA54" s="183">
        <v>0</v>
      </c>
      <c r="AB54" s="37">
        <v>5178337.75</v>
      </c>
    </row>
    <row r="55" spans="1:28" x14ac:dyDescent="0.2">
      <c r="A55" s="12" t="s">
        <v>36</v>
      </c>
      <c r="B55" s="13">
        <v>804</v>
      </c>
      <c r="C55" s="14" t="s">
        <v>83</v>
      </c>
      <c r="D55" s="36" t="s">
        <v>34</v>
      </c>
      <c r="E55" s="15" t="s">
        <v>84</v>
      </c>
      <c r="F55" s="14" t="s">
        <v>85</v>
      </c>
      <c r="G55" s="14"/>
      <c r="H55" s="37">
        <f t="shared" ref="H55:V55" si="36">H56+H57</f>
        <v>560200</v>
      </c>
      <c r="I55" s="37">
        <f t="shared" si="36"/>
        <v>-100555.1</v>
      </c>
      <c r="J55" s="37">
        <f t="shared" si="36"/>
        <v>-100555.1</v>
      </c>
      <c r="K55" s="38">
        <f t="shared" si="36"/>
        <v>0</v>
      </c>
      <c r="L55" s="38">
        <f t="shared" si="36"/>
        <v>0</v>
      </c>
      <c r="M55" s="38">
        <f t="shared" si="36"/>
        <v>0</v>
      </c>
      <c r="N55" s="39">
        <f t="shared" si="36"/>
        <v>459644.9</v>
      </c>
      <c r="O55" s="37">
        <f t="shared" si="36"/>
        <v>560200</v>
      </c>
      <c r="P55" s="60">
        <f t="shared" si="36"/>
        <v>570000</v>
      </c>
      <c r="Q55" s="60">
        <f t="shared" si="36"/>
        <v>-104091</v>
      </c>
      <c r="R55" s="60">
        <f t="shared" si="36"/>
        <v>-104091</v>
      </c>
      <c r="S55" s="60">
        <f t="shared" si="36"/>
        <v>0</v>
      </c>
      <c r="T55" s="60">
        <f t="shared" si="36"/>
        <v>0</v>
      </c>
      <c r="U55" s="60">
        <f t="shared" si="36"/>
        <v>0</v>
      </c>
      <c r="V55" s="60">
        <f t="shared" si="36"/>
        <v>0</v>
      </c>
      <c r="W55" s="291">
        <f>W56+W57</f>
        <v>430000</v>
      </c>
      <c r="X55" s="320"/>
      <c r="Y55" s="320"/>
      <c r="Z55" s="353"/>
      <c r="AA55" s="60">
        <f>AA56+AA57</f>
        <v>470000</v>
      </c>
      <c r="AB55" s="60">
        <f t="shared" ref="AB55" si="37">AB56+AB57</f>
        <v>430000</v>
      </c>
    </row>
    <row r="56" spans="1:28" x14ac:dyDescent="0.2">
      <c r="A56" s="44" t="s">
        <v>37</v>
      </c>
      <c r="B56" s="45"/>
      <c r="C56" s="14"/>
      <c r="D56" s="14"/>
      <c r="E56" s="15"/>
      <c r="F56" s="14"/>
      <c r="G56" s="14" t="s">
        <v>38</v>
      </c>
      <c r="H56" s="37">
        <v>10200</v>
      </c>
      <c r="I56" s="37">
        <f>SUM(J56:M56)</f>
        <v>0</v>
      </c>
      <c r="J56" s="37"/>
      <c r="K56" s="38"/>
      <c r="L56" s="38"/>
      <c r="M56" s="38"/>
      <c r="N56" s="39">
        <f>H56+I56</f>
        <v>10200</v>
      </c>
      <c r="O56" s="37">
        <v>10200</v>
      </c>
      <c r="P56" s="60">
        <v>150000</v>
      </c>
      <c r="Q56" s="37">
        <f>R56+S56+T56+U56+V56</f>
        <v>0</v>
      </c>
      <c r="R56" s="37"/>
      <c r="S56" s="37"/>
      <c r="T56" s="37"/>
      <c r="U56" s="37">
        <v>0</v>
      </c>
      <c r="V56" s="37"/>
      <c r="W56" s="183">
        <v>150000</v>
      </c>
      <c r="X56" s="320"/>
      <c r="Y56" s="320"/>
      <c r="Z56" s="320"/>
      <c r="AA56" s="37">
        <v>50000</v>
      </c>
      <c r="AB56" s="37">
        <v>150000</v>
      </c>
    </row>
    <row r="57" spans="1:28" x14ac:dyDescent="0.2">
      <c r="A57" s="46" t="s">
        <v>39</v>
      </c>
      <c r="B57" s="47"/>
      <c r="C57" s="14"/>
      <c r="D57" s="14"/>
      <c r="E57" s="15"/>
      <c r="F57" s="14"/>
      <c r="G57" s="14" t="s">
        <v>40</v>
      </c>
      <c r="H57" s="37">
        <v>550000</v>
      </c>
      <c r="I57" s="37">
        <f>SUM(J57:M57)</f>
        <v>-100555.1</v>
      </c>
      <c r="J57" s="37">
        <f>-121568.55+21013.45</f>
        <v>-100555.1</v>
      </c>
      <c r="K57" s="38"/>
      <c r="L57" s="38"/>
      <c r="M57" s="38"/>
      <c r="N57" s="39">
        <f>H57+I57</f>
        <v>449444.9</v>
      </c>
      <c r="O57" s="37">
        <v>550000</v>
      </c>
      <c r="P57" s="60">
        <v>420000</v>
      </c>
      <c r="Q57" s="37">
        <f>R57+S57+T57+U57+V57</f>
        <v>-104091</v>
      </c>
      <c r="R57" s="183">
        <v>-104091</v>
      </c>
      <c r="S57" s="37"/>
      <c r="T57" s="37"/>
      <c r="U57" s="183">
        <v>0</v>
      </c>
      <c r="V57" s="183"/>
      <c r="W57" s="183">
        <v>280000</v>
      </c>
      <c r="X57" s="320">
        <f>315909-420000</f>
        <v>-104091</v>
      </c>
      <c r="Y57" s="320"/>
      <c r="Z57" s="320"/>
      <c r="AA57" s="183">
        <v>420000</v>
      </c>
      <c r="AB57" s="183">
        <v>280000</v>
      </c>
    </row>
    <row r="58" spans="1:28" x14ac:dyDescent="0.2">
      <c r="A58" s="59" t="s">
        <v>28</v>
      </c>
      <c r="B58" s="13">
        <v>804</v>
      </c>
      <c r="C58" s="14" t="s">
        <v>83</v>
      </c>
      <c r="D58" s="36" t="s">
        <v>34</v>
      </c>
      <c r="E58" s="15" t="s">
        <v>29</v>
      </c>
      <c r="F58" s="14" t="s">
        <v>30</v>
      </c>
      <c r="G58" s="14"/>
      <c r="H58" s="37">
        <v>1365359.92</v>
      </c>
      <c r="I58" s="37">
        <f>SUM(J58:M58)</f>
        <v>0</v>
      </c>
      <c r="J58" s="37">
        <v>0</v>
      </c>
      <c r="K58" s="38">
        <v>0</v>
      </c>
      <c r="L58" s="38">
        <v>0</v>
      </c>
      <c r="M58" s="38">
        <v>0</v>
      </c>
      <c r="N58" s="39">
        <f>H58+I58</f>
        <v>1365359.92</v>
      </c>
      <c r="O58" s="37">
        <v>1365359.92</v>
      </c>
      <c r="P58" s="60">
        <v>1503807.11</v>
      </c>
      <c r="Q58" s="37">
        <f>R58+S58+T58+U58+V58</f>
        <v>0</v>
      </c>
      <c r="R58" s="37"/>
      <c r="S58" s="37"/>
      <c r="T58" s="37"/>
      <c r="U58" s="37">
        <v>0</v>
      </c>
      <c r="V58" s="37"/>
      <c r="W58" s="183">
        <v>1563858</v>
      </c>
      <c r="X58" s="320"/>
      <c r="Y58" s="320"/>
      <c r="Z58" s="353"/>
      <c r="AA58" s="37">
        <v>0</v>
      </c>
      <c r="AB58" s="37">
        <v>1563858</v>
      </c>
    </row>
    <row r="59" spans="1:28" x14ac:dyDescent="0.2">
      <c r="A59" s="29" t="s">
        <v>41</v>
      </c>
      <c r="B59" s="30">
        <v>804</v>
      </c>
      <c r="C59" s="31" t="s">
        <v>83</v>
      </c>
      <c r="D59" s="42" t="s">
        <v>34</v>
      </c>
      <c r="E59" s="32" t="s">
        <v>19</v>
      </c>
      <c r="F59" s="31" t="s">
        <v>42</v>
      </c>
      <c r="G59" s="31"/>
      <c r="H59" s="33">
        <f t="shared" ref="H59:N59" si="38">H60+H62+H65+H70+H75+H61</f>
        <v>9173256.0500000007</v>
      </c>
      <c r="I59" s="33">
        <f t="shared" si="38"/>
        <v>740538.62</v>
      </c>
      <c r="J59" s="33">
        <f t="shared" si="38"/>
        <v>10331.839999999997</v>
      </c>
      <c r="K59" s="34">
        <f t="shared" si="38"/>
        <v>0</v>
      </c>
      <c r="L59" s="34">
        <f t="shared" si="38"/>
        <v>0</v>
      </c>
      <c r="M59" s="34">
        <f t="shared" si="38"/>
        <v>730206.78</v>
      </c>
      <c r="N59" s="34">
        <f t="shared" si="38"/>
        <v>9893794.6699999999</v>
      </c>
      <c r="O59" s="33">
        <f>O60+O62+O65+O70+O75+O61</f>
        <v>8540402.6720000021</v>
      </c>
      <c r="P59" s="281">
        <f>P60+P62+P65+P70+P75+P61</f>
        <v>3261168.33</v>
      </c>
      <c r="Q59" s="281">
        <f>Q60+Q62+Q65+Q70+Q75+Q61</f>
        <v>178115</v>
      </c>
      <c r="R59" s="281">
        <f t="shared" ref="R59:V59" si="39">R60+R62+R65+R70+R75+R61</f>
        <v>0</v>
      </c>
      <c r="S59" s="281">
        <f t="shared" si="39"/>
        <v>178115</v>
      </c>
      <c r="T59" s="281">
        <f t="shared" si="39"/>
        <v>0</v>
      </c>
      <c r="U59" s="281">
        <f t="shared" si="39"/>
        <v>0</v>
      </c>
      <c r="V59" s="281">
        <f t="shared" si="39"/>
        <v>0</v>
      </c>
      <c r="W59" s="285">
        <f>W60+W61+W65+W70+W75</f>
        <v>4447119.1399999997</v>
      </c>
      <c r="X59" s="320"/>
      <c r="Y59" s="320"/>
      <c r="Z59" s="353"/>
      <c r="AA59" s="281">
        <f>AA60+AA62+AA65+AA70+AA75+AA61</f>
        <v>1375454.3000000003</v>
      </c>
      <c r="AB59" s="281">
        <f t="shared" ref="AB59" si="40">AB60+AB62+AB65+AB70+AB75+AB61</f>
        <v>4447119.1399999997</v>
      </c>
    </row>
    <row r="60" spans="1:28" x14ac:dyDescent="0.2">
      <c r="A60" s="12" t="s">
        <v>86</v>
      </c>
      <c r="B60" s="13">
        <v>804</v>
      </c>
      <c r="C60" s="14" t="s">
        <v>83</v>
      </c>
      <c r="D60" s="36" t="s">
        <v>34</v>
      </c>
      <c r="E60" s="15" t="s">
        <v>44</v>
      </c>
      <c r="F60" s="14" t="s">
        <v>45</v>
      </c>
      <c r="G60" s="14"/>
      <c r="H60" s="37">
        <v>650000</v>
      </c>
      <c r="I60" s="37">
        <f>SUM(J60:M60)</f>
        <v>166000</v>
      </c>
      <c r="J60" s="37">
        <v>0</v>
      </c>
      <c r="K60" s="38">
        <v>0</v>
      </c>
      <c r="L60" s="38">
        <v>0</v>
      </c>
      <c r="M60" s="38">
        <v>166000</v>
      </c>
      <c r="N60" s="39">
        <f>H60+I60</f>
        <v>816000</v>
      </c>
      <c r="O60" s="37">
        <f>650000*80%</f>
        <v>520000</v>
      </c>
      <c r="P60" s="60">
        <v>372000</v>
      </c>
      <c r="Q60" s="37">
        <f>R60+S60+T60+U60+V60</f>
        <v>0</v>
      </c>
      <c r="R60" s="37"/>
      <c r="S60" s="37"/>
      <c r="T60" s="37"/>
      <c r="U60" s="37">
        <v>0</v>
      </c>
      <c r="V60" s="37"/>
      <c r="W60" s="183">
        <v>372000</v>
      </c>
      <c r="X60" s="320"/>
      <c r="Y60" s="320"/>
      <c r="Z60" s="320"/>
      <c r="AA60" s="37">
        <v>150000</v>
      </c>
      <c r="AB60" s="37">
        <v>372000</v>
      </c>
    </row>
    <row r="61" spans="1:28" x14ac:dyDescent="0.2">
      <c r="A61" s="12" t="s">
        <v>86</v>
      </c>
      <c r="B61" s="13">
        <v>804</v>
      </c>
      <c r="C61" s="14" t="s">
        <v>83</v>
      </c>
      <c r="D61" s="36" t="s">
        <v>34</v>
      </c>
      <c r="E61" s="15" t="s">
        <v>46</v>
      </c>
      <c r="F61" s="14" t="s">
        <v>45</v>
      </c>
      <c r="G61" s="14"/>
      <c r="H61" s="37">
        <v>10000</v>
      </c>
      <c r="I61" s="37">
        <f>SUM(J61:M61)</f>
        <v>0</v>
      </c>
      <c r="J61" s="37"/>
      <c r="K61" s="38"/>
      <c r="L61" s="38"/>
      <c r="M61" s="38"/>
      <c r="N61" s="39">
        <f>H61+I61</f>
        <v>10000</v>
      </c>
      <c r="O61" s="37">
        <f>10000*80%</f>
        <v>8000</v>
      </c>
      <c r="P61" s="60">
        <v>13000</v>
      </c>
      <c r="Q61" s="37">
        <f>R61+S61+T61+U61+V61</f>
        <v>0</v>
      </c>
      <c r="R61" s="37"/>
      <c r="S61" s="37"/>
      <c r="T61" s="37"/>
      <c r="U61" s="37"/>
      <c r="V61" s="37"/>
      <c r="W61" s="183">
        <v>13000</v>
      </c>
      <c r="X61" s="320"/>
      <c r="Y61" s="320"/>
      <c r="Z61" s="353"/>
      <c r="AA61" s="37">
        <v>4000</v>
      </c>
      <c r="AB61" s="37">
        <v>13000</v>
      </c>
    </row>
    <row r="62" spans="1:28" hidden="1" x14ac:dyDescent="0.2">
      <c r="A62" s="12" t="s">
        <v>47</v>
      </c>
      <c r="B62" s="13">
        <v>804</v>
      </c>
      <c r="C62" s="14" t="s">
        <v>83</v>
      </c>
      <c r="D62" s="36" t="s">
        <v>34</v>
      </c>
      <c r="E62" s="15" t="s">
        <v>19</v>
      </c>
      <c r="F62" s="14" t="s">
        <v>48</v>
      </c>
      <c r="G62" s="14"/>
      <c r="H62" s="37">
        <f t="shared" ref="H62:N62" si="41">H63+H64</f>
        <v>1847258.85</v>
      </c>
      <c r="I62" s="37">
        <f t="shared" si="41"/>
        <v>7010</v>
      </c>
      <c r="J62" s="37">
        <f t="shared" si="41"/>
        <v>7010</v>
      </c>
      <c r="K62" s="38">
        <f t="shared" si="41"/>
        <v>0</v>
      </c>
      <c r="L62" s="38">
        <f t="shared" si="41"/>
        <v>0</v>
      </c>
      <c r="M62" s="38">
        <f t="shared" si="41"/>
        <v>0</v>
      </c>
      <c r="N62" s="39">
        <f t="shared" si="41"/>
        <v>1854268.85</v>
      </c>
      <c r="O62" s="37">
        <f>O63+O64</f>
        <v>1477807.08</v>
      </c>
      <c r="P62" s="60">
        <f>P63+P64</f>
        <v>0</v>
      </c>
      <c r="Q62" s="37"/>
      <c r="R62" s="37"/>
      <c r="S62" s="37"/>
      <c r="T62" s="37"/>
      <c r="U62" s="37"/>
      <c r="V62" s="37"/>
      <c r="W62" s="183"/>
      <c r="X62" s="320"/>
      <c r="Y62" s="320"/>
      <c r="Z62" s="353"/>
      <c r="AA62" s="37"/>
      <c r="AB62" s="37"/>
    </row>
    <row r="63" spans="1:28" hidden="1" x14ac:dyDescent="0.2">
      <c r="A63" s="44" t="s">
        <v>37</v>
      </c>
      <c r="B63" s="45"/>
      <c r="C63" s="14"/>
      <c r="D63" s="14"/>
      <c r="E63" s="15" t="s">
        <v>84</v>
      </c>
      <c r="F63" s="14"/>
      <c r="G63" s="14" t="s">
        <v>38</v>
      </c>
      <c r="H63" s="37">
        <v>150000</v>
      </c>
      <c r="I63" s="37">
        <f>SUM(J63:M63)</f>
        <v>0</v>
      </c>
      <c r="J63" s="37"/>
      <c r="K63" s="38"/>
      <c r="L63" s="38"/>
      <c r="M63" s="38"/>
      <c r="N63" s="39">
        <f>H63+I63</f>
        <v>150000</v>
      </c>
      <c r="O63" s="37">
        <f>150000*80%</f>
        <v>120000</v>
      </c>
      <c r="P63" s="60">
        <v>0</v>
      </c>
      <c r="Q63" s="37"/>
      <c r="R63" s="37"/>
      <c r="S63" s="37"/>
      <c r="T63" s="37"/>
      <c r="U63" s="37"/>
      <c r="V63" s="37"/>
      <c r="W63" s="183"/>
      <c r="X63" s="320"/>
      <c r="Y63" s="320"/>
      <c r="Z63" s="353"/>
      <c r="AA63" s="37"/>
      <c r="AB63" s="37"/>
    </row>
    <row r="64" spans="1:28" hidden="1" x14ac:dyDescent="0.2">
      <c r="A64" s="12" t="s">
        <v>47</v>
      </c>
      <c r="B64" s="13"/>
      <c r="C64" s="14"/>
      <c r="D64" s="36"/>
      <c r="E64" s="15" t="s">
        <v>46</v>
      </c>
      <c r="F64" s="14"/>
      <c r="G64" s="14" t="s">
        <v>49</v>
      </c>
      <c r="H64" s="60">
        <f>1616437*1.05</f>
        <v>1697258.85</v>
      </c>
      <c r="I64" s="37">
        <f>SUM(J64:M64)</f>
        <v>7010</v>
      </c>
      <c r="J64" s="60">
        <v>7010</v>
      </c>
      <c r="K64" s="60">
        <v>0</v>
      </c>
      <c r="L64" s="60">
        <v>0</v>
      </c>
      <c r="M64" s="60">
        <v>0</v>
      </c>
      <c r="N64" s="39">
        <f>H64+I64</f>
        <v>1704268.85</v>
      </c>
      <c r="O64" s="60">
        <f>(1616437*1.05)*80%</f>
        <v>1357807.08</v>
      </c>
      <c r="P64" s="60">
        <v>0</v>
      </c>
      <c r="Q64" s="60"/>
      <c r="R64" s="61"/>
      <c r="S64" s="60"/>
      <c r="T64" s="60"/>
      <c r="U64" s="60"/>
      <c r="V64" s="60"/>
      <c r="W64" s="183"/>
      <c r="X64" s="320"/>
      <c r="Y64" s="320"/>
      <c r="Z64" s="353"/>
      <c r="AA64" s="61"/>
      <c r="AB64" s="37"/>
    </row>
    <row r="65" spans="1:28" x14ac:dyDescent="0.2">
      <c r="A65" s="12" t="s">
        <v>87</v>
      </c>
      <c r="B65" s="13">
        <v>804</v>
      </c>
      <c r="C65" s="14" t="s">
        <v>83</v>
      </c>
      <c r="D65" s="36" t="s">
        <v>34</v>
      </c>
      <c r="E65" s="15" t="s">
        <v>46</v>
      </c>
      <c r="F65" s="14" t="s">
        <v>88</v>
      </c>
      <c r="G65" s="14"/>
      <c r="H65" s="37">
        <f t="shared" ref="H65:N65" si="42">SUM(H66:H69)</f>
        <v>6008989.1600000011</v>
      </c>
      <c r="I65" s="37">
        <f t="shared" si="42"/>
        <v>446528.62</v>
      </c>
      <c r="J65" s="37">
        <f t="shared" si="42"/>
        <v>8321.8399999999965</v>
      </c>
      <c r="K65" s="37">
        <f t="shared" si="42"/>
        <v>0</v>
      </c>
      <c r="L65" s="37">
        <f t="shared" si="42"/>
        <v>0</v>
      </c>
      <c r="M65" s="37">
        <f t="shared" si="42"/>
        <v>438206.78</v>
      </c>
      <c r="N65" s="37">
        <f t="shared" si="42"/>
        <v>6455517.7800000012</v>
      </c>
      <c r="O65" s="37">
        <f>SUM(O66:O69)</f>
        <v>6008989.1600000011</v>
      </c>
      <c r="P65" s="60">
        <f>SUM(P66:P69)</f>
        <v>2394406.36</v>
      </c>
      <c r="Q65" s="60">
        <f>SUM(Q66:Q69)</f>
        <v>178115</v>
      </c>
      <c r="R65" s="60">
        <f t="shared" ref="R65:U65" si="43">SUM(R66:R69)</f>
        <v>0</v>
      </c>
      <c r="S65" s="60">
        <f t="shared" si="43"/>
        <v>178115</v>
      </c>
      <c r="T65" s="60">
        <f t="shared" si="43"/>
        <v>0</v>
      </c>
      <c r="U65" s="60">
        <f t="shared" si="43"/>
        <v>0</v>
      </c>
      <c r="V65" s="60"/>
      <c r="W65" s="291">
        <f>W66+W67+W68+W69</f>
        <v>3580357.17</v>
      </c>
      <c r="X65" s="320"/>
      <c r="Y65" s="320"/>
      <c r="Z65" s="353"/>
      <c r="AA65" s="60">
        <f>SUM(AA66:AA69)</f>
        <v>1161454.3000000003</v>
      </c>
      <c r="AB65" s="60">
        <f t="shared" ref="AB65" si="44">SUM(AB66:AB69)</f>
        <v>3580357.17</v>
      </c>
    </row>
    <row r="66" spans="1:28" x14ac:dyDescent="0.2">
      <c r="A66" s="46" t="s">
        <v>89</v>
      </c>
      <c r="B66" s="47"/>
      <c r="C66" s="14"/>
      <c r="D66" s="36"/>
      <c r="E66" s="15"/>
      <c r="F66" s="14"/>
      <c r="G66" s="14" t="s">
        <v>90</v>
      </c>
      <c r="H66" s="37">
        <v>5728667.9400000004</v>
      </c>
      <c r="I66" s="37">
        <f>SUM(J66:M66)</f>
        <v>526528.62</v>
      </c>
      <c r="J66" s="37">
        <f>80000+8321.84</f>
        <v>88321.84</v>
      </c>
      <c r="K66" s="38">
        <v>0</v>
      </c>
      <c r="L66" s="38">
        <v>0</v>
      </c>
      <c r="M66" s="38">
        <f>88206.78+350000</f>
        <v>438206.78</v>
      </c>
      <c r="N66" s="39">
        <f>H66+I66</f>
        <v>6255196.5600000005</v>
      </c>
      <c r="O66" s="37">
        <v>5728667.9400000004</v>
      </c>
      <c r="P66" s="60">
        <v>2216058.2799999998</v>
      </c>
      <c r="Q66" s="37">
        <f>R66+S66+T66+U66+V66</f>
        <v>173796.67</v>
      </c>
      <c r="R66" s="37"/>
      <c r="S66" s="37">
        <v>173796.67</v>
      </c>
      <c r="T66" s="37"/>
      <c r="U66" s="37">
        <v>0</v>
      </c>
      <c r="V66" s="37"/>
      <c r="W66" s="183">
        <v>3364977.96</v>
      </c>
      <c r="X66" s="320">
        <f>2019353.87-W66</f>
        <v>-1345624.0899999999</v>
      </c>
      <c r="Y66" s="320"/>
      <c r="Z66" s="353"/>
      <c r="AA66" s="37">
        <v>1147924.1200000001</v>
      </c>
      <c r="AB66" s="183">
        <v>3364977.96</v>
      </c>
    </row>
    <row r="67" spans="1:28" x14ac:dyDescent="0.2">
      <c r="A67" s="46" t="s">
        <v>91</v>
      </c>
      <c r="B67" s="47"/>
      <c r="C67" s="14"/>
      <c r="D67" s="36"/>
      <c r="E67" s="15"/>
      <c r="F67" s="14"/>
      <c r="G67" s="14" t="s">
        <v>92</v>
      </c>
      <c r="H67" s="37">
        <v>248314.61</v>
      </c>
      <c r="I67" s="37">
        <f>SUM(J67:M67)</f>
        <v>-80000</v>
      </c>
      <c r="J67" s="37">
        <f>-80000</f>
        <v>-80000</v>
      </c>
      <c r="K67" s="38"/>
      <c r="L67" s="38"/>
      <c r="M67" s="38">
        <v>0</v>
      </c>
      <c r="N67" s="39">
        <f>H67+I67</f>
        <v>168314.61</v>
      </c>
      <c r="O67" s="37">
        <v>248314.61</v>
      </c>
      <c r="P67" s="60">
        <v>148468.73000000001</v>
      </c>
      <c r="Q67" s="37">
        <f>R67+S67+T67+U67+V67</f>
        <v>0</v>
      </c>
      <c r="R67" s="37"/>
      <c r="S67" s="37"/>
      <c r="T67" s="37"/>
      <c r="U67" s="37"/>
      <c r="V67" s="37"/>
      <c r="W67" s="183">
        <v>181181.53</v>
      </c>
      <c r="X67" s="320"/>
      <c r="Y67" s="320"/>
      <c r="Z67" s="353"/>
      <c r="AA67" s="37"/>
      <c r="AB67" s="183">
        <v>181181.53</v>
      </c>
    </row>
    <row r="68" spans="1:28" ht="25.5" x14ac:dyDescent="0.2">
      <c r="A68" s="46" t="s">
        <v>93</v>
      </c>
      <c r="B68" s="47"/>
      <c r="C68" s="14"/>
      <c r="D68" s="36"/>
      <c r="E68" s="15"/>
      <c r="F68" s="14"/>
      <c r="G68" s="14" t="s">
        <v>94</v>
      </c>
      <c r="H68" s="37">
        <f>6661.28+18066.37</f>
        <v>24727.649999999998</v>
      </c>
      <c r="I68" s="37">
        <f>SUM(J68:M68)</f>
        <v>0</v>
      </c>
      <c r="J68" s="37"/>
      <c r="K68" s="38"/>
      <c r="L68" s="38"/>
      <c r="M68" s="38"/>
      <c r="N68" s="39">
        <f>H68+I68</f>
        <v>24727.649999999998</v>
      </c>
      <c r="O68" s="37">
        <f>6661.28+18066.37</f>
        <v>24727.649999999998</v>
      </c>
      <c r="P68" s="60">
        <v>21145.75</v>
      </c>
      <c r="Q68" s="37">
        <f>R68+S68+T68+U68+V68</f>
        <v>2643.99</v>
      </c>
      <c r="R68" s="37"/>
      <c r="S68" s="37">
        <v>2643.99</v>
      </c>
      <c r="T68" s="37"/>
      <c r="U68" s="37"/>
      <c r="V68" s="37"/>
      <c r="W68" s="183">
        <v>23789.74</v>
      </c>
      <c r="X68" s="320">
        <f>11237.88-W68</f>
        <v>-12551.860000000002</v>
      </c>
      <c r="Y68" s="320"/>
      <c r="Z68" s="353"/>
      <c r="AA68" s="37">
        <v>9907.8700000000008</v>
      </c>
      <c r="AB68" s="183">
        <v>23789.74</v>
      </c>
    </row>
    <row r="69" spans="1:28" x14ac:dyDescent="0.2">
      <c r="A69" s="46" t="s">
        <v>95</v>
      </c>
      <c r="B69" s="47"/>
      <c r="C69" s="14"/>
      <c r="D69" s="36"/>
      <c r="E69" s="15"/>
      <c r="F69" s="14"/>
      <c r="G69" s="14" t="s">
        <v>96</v>
      </c>
      <c r="H69" s="37">
        <v>7278.96</v>
      </c>
      <c r="I69" s="37">
        <f>SUM(J69:M69)</f>
        <v>0</v>
      </c>
      <c r="J69" s="37"/>
      <c r="K69" s="38"/>
      <c r="L69" s="38"/>
      <c r="M69" s="38"/>
      <c r="N69" s="39">
        <f>H69+I69</f>
        <v>7278.96</v>
      </c>
      <c r="O69" s="37">
        <v>7278.96</v>
      </c>
      <c r="P69" s="60">
        <v>8733.6</v>
      </c>
      <c r="Q69" s="37">
        <f>R69+S69+T69+U69+V69</f>
        <v>1674.34</v>
      </c>
      <c r="R69" s="37"/>
      <c r="S69" s="37">
        <v>1674.34</v>
      </c>
      <c r="T69" s="37"/>
      <c r="U69" s="37"/>
      <c r="V69" s="37"/>
      <c r="W69" s="183">
        <v>10407.94</v>
      </c>
      <c r="X69" s="320">
        <f>5111.29-W69</f>
        <v>-5296.6500000000005</v>
      </c>
      <c r="Y69" s="320"/>
      <c r="Z69" s="353"/>
      <c r="AA69" s="37">
        <v>3622.31</v>
      </c>
      <c r="AB69" s="183">
        <v>10407.94</v>
      </c>
    </row>
    <row r="70" spans="1:28" x14ac:dyDescent="0.2">
      <c r="A70" s="12" t="s">
        <v>50</v>
      </c>
      <c r="B70" s="13">
        <v>804</v>
      </c>
      <c r="C70" s="14" t="s">
        <v>83</v>
      </c>
      <c r="D70" s="36" t="s">
        <v>34</v>
      </c>
      <c r="E70" s="15" t="s">
        <v>19</v>
      </c>
      <c r="F70" s="14" t="s">
        <v>51</v>
      </c>
      <c r="G70" s="14"/>
      <c r="H70" s="37">
        <f>H71+H72+H73+H74</f>
        <v>281008.03999999998</v>
      </c>
      <c r="I70" s="37">
        <f t="shared" ref="I70:N70" si="45">I71+I72+I73+I74</f>
        <v>110000</v>
      </c>
      <c r="J70" s="37">
        <f t="shared" si="45"/>
        <v>0</v>
      </c>
      <c r="K70" s="38">
        <f t="shared" si="45"/>
        <v>0</v>
      </c>
      <c r="L70" s="38">
        <f t="shared" si="45"/>
        <v>0</v>
      </c>
      <c r="M70" s="38">
        <f t="shared" si="45"/>
        <v>110000</v>
      </c>
      <c r="N70" s="39">
        <f t="shared" si="45"/>
        <v>391008.04</v>
      </c>
      <c r="O70" s="37">
        <f>O71+O72+O73+O74</f>
        <v>224806.432</v>
      </c>
      <c r="P70" s="60">
        <f>P71+P72+P73+P74</f>
        <v>33120</v>
      </c>
      <c r="Q70" s="60">
        <f t="shared" ref="Q70:V70" si="46">Q71+Q72+Q73+Q74</f>
        <v>0</v>
      </c>
      <c r="R70" s="60">
        <f t="shared" si="46"/>
        <v>0</v>
      </c>
      <c r="S70" s="60">
        <f t="shared" si="46"/>
        <v>0</v>
      </c>
      <c r="T70" s="60">
        <f t="shared" si="46"/>
        <v>0</v>
      </c>
      <c r="U70" s="60">
        <f t="shared" si="46"/>
        <v>0</v>
      </c>
      <c r="V70" s="60">
        <f t="shared" si="46"/>
        <v>0</v>
      </c>
      <c r="W70" s="291">
        <f>W74</f>
        <v>33120</v>
      </c>
      <c r="X70" s="320"/>
      <c r="Y70" s="320"/>
      <c r="Z70" s="353"/>
      <c r="AA70" s="60">
        <f>AA71+AA72+AA73+AA74</f>
        <v>0</v>
      </c>
      <c r="AB70" s="60">
        <f t="shared" ref="AB70" si="47">AB71+AB72+AB73+AB74</f>
        <v>33120</v>
      </c>
    </row>
    <row r="71" spans="1:28" hidden="1" x14ac:dyDescent="0.2">
      <c r="A71" s="12" t="s">
        <v>97</v>
      </c>
      <c r="B71" s="13"/>
      <c r="C71" s="14"/>
      <c r="D71" s="36"/>
      <c r="E71" s="15"/>
      <c r="F71" s="14"/>
      <c r="G71" s="14" t="s">
        <v>56</v>
      </c>
      <c r="H71" s="37">
        <v>0</v>
      </c>
      <c r="I71" s="37">
        <f>SUM(J71:M71)</f>
        <v>0</v>
      </c>
      <c r="J71" s="37">
        <v>0</v>
      </c>
      <c r="K71" s="38">
        <v>0</v>
      </c>
      <c r="L71" s="38">
        <v>0</v>
      </c>
      <c r="M71" s="38">
        <v>0</v>
      </c>
      <c r="N71" s="39">
        <f>H71+I71</f>
        <v>0</v>
      </c>
      <c r="O71" s="37">
        <v>0</v>
      </c>
      <c r="P71" s="60">
        <v>0</v>
      </c>
      <c r="Q71" s="37"/>
      <c r="R71" s="37"/>
      <c r="S71" s="37"/>
      <c r="T71" s="37"/>
      <c r="U71" s="37"/>
      <c r="V71" s="37"/>
      <c r="W71" s="183"/>
      <c r="X71" s="320"/>
      <c r="Y71" s="320"/>
      <c r="Z71" s="353"/>
      <c r="AA71" s="37"/>
      <c r="AB71" s="37"/>
    </row>
    <row r="72" spans="1:28" hidden="1" x14ac:dyDescent="0.2">
      <c r="A72" s="12" t="s">
        <v>98</v>
      </c>
      <c r="B72" s="13"/>
      <c r="C72" s="14"/>
      <c r="D72" s="36"/>
      <c r="E72" s="15"/>
      <c r="F72" s="14"/>
      <c r="G72" s="14" t="s">
        <v>99</v>
      </c>
      <c r="H72" s="37">
        <v>0</v>
      </c>
      <c r="I72" s="37">
        <f>SUM(J72:M72)</f>
        <v>0</v>
      </c>
      <c r="J72" s="37">
        <v>0</v>
      </c>
      <c r="K72" s="38">
        <v>0</v>
      </c>
      <c r="L72" s="38">
        <v>0</v>
      </c>
      <c r="M72" s="38">
        <v>0</v>
      </c>
      <c r="N72" s="39">
        <f>H72+I72</f>
        <v>0</v>
      </c>
      <c r="O72" s="37">
        <v>0</v>
      </c>
      <c r="P72" s="60">
        <v>0</v>
      </c>
      <c r="Q72" s="37"/>
      <c r="R72" s="37"/>
      <c r="S72" s="37"/>
      <c r="T72" s="37"/>
      <c r="U72" s="37"/>
      <c r="V72" s="37"/>
      <c r="W72" s="183"/>
      <c r="X72" s="320"/>
      <c r="Y72" s="320"/>
      <c r="Z72" s="353"/>
      <c r="AA72" s="37"/>
      <c r="AB72" s="37"/>
    </row>
    <row r="73" spans="1:28" hidden="1" x14ac:dyDescent="0.2">
      <c r="A73" s="46" t="s">
        <v>52</v>
      </c>
      <c r="B73" s="47"/>
      <c r="C73" s="14"/>
      <c r="D73" s="36"/>
      <c r="E73" s="15"/>
      <c r="F73" s="14"/>
      <c r="G73" s="14" t="s">
        <v>53</v>
      </c>
      <c r="H73" s="37">
        <v>0</v>
      </c>
      <c r="I73" s="37">
        <f>SUM(J73:M73)</f>
        <v>0</v>
      </c>
      <c r="J73" s="37">
        <v>0</v>
      </c>
      <c r="K73" s="38">
        <v>0</v>
      </c>
      <c r="L73" s="38">
        <v>0</v>
      </c>
      <c r="M73" s="38">
        <v>0</v>
      </c>
      <c r="N73" s="39">
        <f>H73+I73</f>
        <v>0</v>
      </c>
      <c r="O73" s="37">
        <v>0</v>
      </c>
      <c r="P73" s="60">
        <v>0</v>
      </c>
      <c r="Q73" s="37"/>
      <c r="R73" s="37"/>
      <c r="S73" s="37"/>
      <c r="T73" s="37"/>
      <c r="U73" s="37"/>
      <c r="V73" s="37"/>
      <c r="W73" s="183"/>
      <c r="X73" s="320"/>
      <c r="Y73" s="320"/>
      <c r="Z73" s="353"/>
      <c r="AA73" s="37"/>
      <c r="AB73" s="37"/>
    </row>
    <row r="74" spans="1:28" ht="25.5" x14ac:dyDescent="0.2">
      <c r="A74" s="46" t="s">
        <v>100</v>
      </c>
      <c r="B74" s="47"/>
      <c r="C74" s="14"/>
      <c r="D74" s="36"/>
      <c r="E74" s="15" t="s">
        <v>44</v>
      </c>
      <c r="F74" s="14"/>
      <c r="G74" s="14" t="s">
        <v>101</v>
      </c>
      <c r="H74" s="37">
        <v>281008.03999999998</v>
      </c>
      <c r="I74" s="37">
        <f>SUM(J74:M74)</f>
        <v>110000</v>
      </c>
      <c r="J74" s="37">
        <v>0</v>
      </c>
      <c r="K74" s="38">
        <v>0</v>
      </c>
      <c r="L74" s="38">
        <v>0</v>
      </c>
      <c r="M74" s="38">
        <v>110000</v>
      </c>
      <c r="N74" s="39">
        <f>H74+I74</f>
        <v>391008.04</v>
      </c>
      <c r="O74" s="37">
        <f>281008.04*80%</f>
        <v>224806.432</v>
      </c>
      <c r="P74" s="60">
        <v>33120</v>
      </c>
      <c r="Q74" s="37">
        <f>R74+S74+T74+U74+V74</f>
        <v>0</v>
      </c>
      <c r="R74" s="37"/>
      <c r="S74" s="37"/>
      <c r="T74" s="37"/>
      <c r="U74" s="37"/>
      <c r="V74" s="37"/>
      <c r="W74" s="183">
        <v>33120</v>
      </c>
      <c r="X74" s="320"/>
      <c r="Y74" s="320"/>
      <c r="Z74" s="353"/>
      <c r="AA74" s="37"/>
      <c r="AB74" s="37">
        <v>33120</v>
      </c>
    </row>
    <row r="75" spans="1:28" x14ac:dyDescent="0.2">
      <c r="A75" s="12" t="s">
        <v>57</v>
      </c>
      <c r="B75" s="13">
        <v>804</v>
      </c>
      <c r="C75" s="14" t="s">
        <v>83</v>
      </c>
      <c r="D75" s="36" t="s">
        <v>18</v>
      </c>
      <c r="E75" s="15" t="s">
        <v>19</v>
      </c>
      <c r="F75" s="14" t="s">
        <v>58</v>
      </c>
      <c r="G75" s="14"/>
      <c r="H75" s="37">
        <f>SUM(H76:H85)</f>
        <v>376000</v>
      </c>
      <c r="I75" s="37">
        <f t="shared" ref="I75:V75" si="48">SUM(I76:I85)</f>
        <v>11000</v>
      </c>
      <c r="J75" s="37">
        <f t="shared" si="48"/>
        <v>-5000</v>
      </c>
      <c r="K75" s="37">
        <f t="shared" si="48"/>
        <v>0</v>
      </c>
      <c r="L75" s="37">
        <f t="shared" si="48"/>
        <v>0</v>
      </c>
      <c r="M75" s="37">
        <f t="shared" si="48"/>
        <v>16000</v>
      </c>
      <c r="N75" s="37">
        <f t="shared" si="48"/>
        <v>367000</v>
      </c>
      <c r="O75" s="37">
        <f t="shared" si="48"/>
        <v>300800</v>
      </c>
      <c r="P75" s="60">
        <f>SUM(P76:P85)</f>
        <v>448641.97</v>
      </c>
      <c r="Q75" s="60">
        <f t="shared" si="48"/>
        <v>0</v>
      </c>
      <c r="R75" s="60">
        <f t="shared" si="48"/>
        <v>0</v>
      </c>
      <c r="S75" s="60">
        <f t="shared" si="48"/>
        <v>0</v>
      </c>
      <c r="T75" s="60">
        <f t="shared" si="48"/>
        <v>0</v>
      </c>
      <c r="U75" s="60">
        <f t="shared" si="48"/>
        <v>0</v>
      </c>
      <c r="V75" s="60">
        <f t="shared" si="48"/>
        <v>0</v>
      </c>
      <c r="W75" s="291">
        <f>SUM(W76:W85)</f>
        <v>448641.97</v>
      </c>
      <c r="X75" s="320"/>
      <c r="Y75" s="320"/>
      <c r="Z75" s="353"/>
      <c r="AA75" s="60">
        <f>SUM(AA76:AA85)</f>
        <v>60000</v>
      </c>
      <c r="AB75" s="60">
        <f t="shared" ref="AB75" si="49">SUM(AB76:AB85)</f>
        <v>448641.97</v>
      </c>
    </row>
    <row r="76" spans="1:28" ht="38.25" hidden="1" x14ac:dyDescent="0.2">
      <c r="A76" s="44" t="s">
        <v>102</v>
      </c>
      <c r="B76" s="13"/>
      <c r="C76" s="14"/>
      <c r="D76" s="36"/>
      <c r="E76" s="15" t="s">
        <v>84</v>
      </c>
      <c r="F76" s="14"/>
      <c r="G76" s="14" t="s">
        <v>38</v>
      </c>
      <c r="H76" s="37">
        <v>120000</v>
      </c>
      <c r="I76" s="37">
        <f t="shared" ref="I76:I85" si="50">SUM(J76:M76)</f>
        <v>7970</v>
      </c>
      <c r="J76" s="37">
        <v>7970</v>
      </c>
      <c r="K76" s="38"/>
      <c r="L76" s="38"/>
      <c r="M76" s="38"/>
      <c r="N76" s="39">
        <f t="shared" ref="N76:N85" si="51">H76+I76</f>
        <v>127970</v>
      </c>
      <c r="O76" s="37">
        <f>120000*80%</f>
        <v>96000</v>
      </c>
      <c r="P76" s="60">
        <v>0</v>
      </c>
      <c r="Q76" s="37"/>
      <c r="R76" s="37"/>
      <c r="S76" s="37"/>
      <c r="T76" s="37"/>
      <c r="U76" s="37"/>
      <c r="V76" s="37"/>
      <c r="W76" s="183"/>
      <c r="X76" s="320"/>
      <c r="Y76" s="320"/>
      <c r="Z76" s="353"/>
      <c r="AA76" s="37"/>
      <c r="AB76" s="37"/>
    </row>
    <row r="77" spans="1:28" ht="38.25" hidden="1" x14ac:dyDescent="0.2">
      <c r="A77" s="44" t="s">
        <v>102</v>
      </c>
      <c r="B77" s="45"/>
      <c r="C77" s="14"/>
      <c r="D77" s="36"/>
      <c r="E77" s="15" t="s">
        <v>46</v>
      </c>
      <c r="F77" s="14"/>
      <c r="G77" s="14" t="s">
        <v>38</v>
      </c>
      <c r="H77" s="37"/>
      <c r="I77" s="37">
        <f t="shared" si="50"/>
        <v>-7970</v>
      </c>
      <c r="J77" s="37">
        <v>-7970</v>
      </c>
      <c r="K77" s="38"/>
      <c r="L77" s="38"/>
      <c r="M77" s="38"/>
      <c r="N77" s="39">
        <f t="shared" si="51"/>
        <v>-7970</v>
      </c>
      <c r="O77" s="37"/>
      <c r="P77" s="60">
        <v>0</v>
      </c>
      <c r="Q77" s="37"/>
      <c r="R77" s="37"/>
      <c r="S77" s="37"/>
      <c r="T77" s="37"/>
      <c r="U77" s="37"/>
      <c r="V77" s="37"/>
      <c r="W77" s="183"/>
      <c r="X77" s="320"/>
      <c r="Y77" s="320"/>
      <c r="Z77" s="353"/>
      <c r="AA77" s="37"/>
      <c r="AB77" s="37"/>
    </row>
    <row r="78" spans="1:28" hidden="1" x14ac:dyDescent="0.2">
      <c r="A78" s="44" t="s">
        <v>103</v>
      </c>
      <c r="B78" s="45"/>
      <c r="C78" s="14"/>
      <c r="D78" s="36"/>
      <c r="E78" s="15" t="s">
        <v>44</v>
      </c>
      <c r="F78" s="14"/>
      <c r="G78" s="14" t="s">
        <v>104</v>
      </c>
      <c r="H78" s="37"/>
      <c r="I78" s="37">
        <f t="shared" si="50"/>
        <v>0</v>
      </c>
      <c r="J78" s="37">
        <v>0</v>
      </c>
      <c r="K78" s="38">
        <v>0</v>
      </c>
      <c r="L78" s="38">
        <v>0</v>
      </c>
      <c r="M78" s="38">
        <v>0</v>
      </c>
      <c r="N78" s="39">
        <f t="shared" si="51"/>
        <v>0</v>
      </c>
      <c r="O78" s="37"/>
      <c r="P78" s="60"/>
      <c r="Q78" s="37"/>
      <c r="R78" s="37"/>
      <c r="S78" s="37"/>
      <c r="T78" s="37"/>
      <c r="U78" s="37"/>
      <c r="V78" s="37"/>
      <c r="W78" s="183"/>
      <c r="X78" s="320"/>
      <c r="Y78" s="320"/>
      <c r="Z78" s="353"/>
      <c r="AA78" s="37"/>
      <c r="AB78" s="37"/>
    </row>
    <row r="79" spans="1:28" hidden="1" x14ac:dyDescent="0.2">
      <c r="A79" s="44" t="s">
        <v>105</v>
      </c>
      <c r="B79" s="45"/>
      <c r="C79" s="14"/>
      <c r="D79" s="14"/>
      <c r="E79" s="15"/>
      <c r="F79" s="14"/>
      <c r="G79" s="14" t="s">
        <v>106</v>
      </c>
      <c r="H79" s="37">
        <v>0</v>
      </c>
      <c r="I79" s="37">
        <f t="shared" si="50"/>
        <v>0</v>
      </c>
      <c r="J79" s="37"/>
      <c r="K79" s="38"/>
      <c r="L79" s="38"/>
      <c r="M79" s="38"/>
      <c r="N79" s="39">
        <f t="shared" si="51"/>
        <v>0</v>
      </c>
      <c r="O79" s="37">
        <v>0</v>
      </c>
      <c r="P79" s="60">
        <v>0</v>
      </c>
      <c r="Q79" s="37"/>
      <c r="R79" s="37"/>
      <c r="S79" s="37"/>
      <c r="T79" s="37"/>
      <c r="U79" s="37"/>
      <c r="V79" s="37"/>
      <c r="W79" s="183"/>
      <c r="X79" s="320"/>
      <c r="Y79" s="320"/>
      <c r="Z79" s="353"/>
      <c r="AA79" s="37"/>
      <c r="AB79" s="37"/>
    </row>
    <row r="80" spans="1:28" ht="25.5" x14ac:dyDescent="0.2">
      <c r="A80" s="44" t="s">
        <v>107</v>
      </c>
      <c r="B80" s="45"/>
      <c r="C80" s="14"/>
      <c r="D80" s="36" t="s">
        <v>34</v>
      </c>
      <c r="E80" s="15" t="s">
        <v>44</v>
      </c>
      <c r="F80" s="14"/>
      <c r="G80" s="14" t="s">
        <v>60</v>
      </c>
      <c r="H80" s="37">
        <f>200000/2</f>
        <v>100000</v>
      </c>
      <c r="I80" s="37">
        <f t="shared" si="50"/>
        <v>-5000</v>
      </c>
      <c r="J80" s="62">
        <v>-5000</v>
      </c>
      <c r="K80" s="38">
        <v>0</v>
      </c>
      <c r="L80" s="38">
        <v>0</v>
      </c>
      <c r="M80" s="38">
        <v>0</v>
      </c>
      <c r="N80" s="39">
        <f t="shared" si="51"/>
        <v>95000</v>
      </c>
      <c r="O80" s="37">
        <f>(200000/2)*80%</f>
        <v>80000</v>
      </c>
      <c r="P80" s="60">
        <v>380440.42</v>
      </c>
      <c r="Q80" s="37">
        <f>R80+S80+T80+U80+V80</f>
        <v>0</v>
      </c>
      <c r="R80" s="37"/>
      <c r="S80" s="37"/>
      <c r="T80" s="37"/>
      <c r="U80" s="37"/>
      <c r="V80" s="37"/>
      <c r="W80" s="183">
        <v>380440.42</v>
      </c>
      <c r="X80" s="320">
        <f>W80-262850</f>
        <v>117590.41999999998</v>
      </c>
      <c r="Y80" s="320"/>
      <c r="Z80" s="353"/>
      <c r="AA80" s="37"/>
      <c r="AB80" s="183">
        <v>380440.42</v>
      </c>
    </row>
    <row r="81" spans="1:28" hidden="1" x14ac:dyDescent="0.2">
      <c r="A81" s="44" t="s">
        <v>37</v>
      </c>
      <c r="B81" s="45"/>
      <c r="C81" s="14"/>
      <c r="D81" s="36" t="s">
        <v>34</v>
      </c>
      <c r="E81" s="15" t="s">
        <v>46</v>
      </c>
      <c r="F81" s="14"/>
      <c r="G81" s="14" t="s">
        <v>38</v>
      </c>
      <c r="H81" s="37">
        <v>35000</v>
      </c>
      <c r="I81" s="37">
        <f t="shared" si="50"/>
        <v>0</v>
      </c>
      <c r="J81" s="37"/>
      <c r="K81" s="38"/>
      <c r="L81" s="38"/>
      <c r="M81" s="38"/>
      <c r="N81" s="39">
        <f t="shared" si="51"/>
        <v>35000</v>
      </c>
      <c r="O81" s="37">
        <f>35000*80%</f>
        <v>28000</v>
      </c>
      <c r="P81" s="37">
        <v>0</v>
      </c>
      <c r="Q81" s="37">
        <f>R81+S81+T81+U81+V81</f>
        <v>0</v>
      </c>
      <c r="R81" s="37">
        <v>0</v>
      </c>
      <c r="S81" s="37"/>
      <c r="T81" s="37"/>
      <c r="U81" s="37"/>
      <c r="V81" s="37"/>
      <c r="W81" s="183">
        <f>P81+Q81</f>
        <v>0</v>
      </c>
      <c r="X81" s="320"/>
      <c r="Y81" s="320"/>
      <c r="Z81" s="353"/>
      <c r="AA81" s="37">
        <v>0</v>
      </c>
      <c r="AB81" s="37">
        <f>U81+V81</f>
        <v>0</v>
      </c>
    </row>
    <row r="82" spans="1:28" ht="25.5" x14ac:dyDescent="0.2">
      <c r="A82" s="44" t="s">
        <v>108</v>
      </c>
      <c r="B82" s="45"/>
      <c r="C82" s="14"/>
      <c r="D82" s="36" t="s">
        <v>34</v>
      </c>
      <c r="E82" s="15" t="s">
        <v>46</v>
      </c>
      <c r="F82" s="14"/>
      <c r="G82" s="14" t="s">
        <v>109</v>
      </c>
      <c r="H82" s="37">
        <v>51000</v>
      </c>
      <c r="I82" s="37">
        <f t="shared" si="50"/>
        <v>0</v>
      </c>
      <c r="J82" s="37">
        <v>0</v>
      </c>
      <c r="K82" s="38">
        <v>0</v>
      </c>
      <c r="L82" s="38">
        <v>0</v>
      </c>
      <c r="M82" s="38">
        <v>0</v>
      </c>
      <c r="N82" s="39">
        <f t="shared" si="51"/>
        <v>51000</v>
      </c>
      <c r="O82" s="37">
        <f>51000*80%</f>
        <v>40800</v>
      </c>
      <c r="P82" s="60">
        <v>30000</v>
      </c>
      <c r="Q82" s="37">
        <f>R82+S82+T82+U82+V82</f>
        <v>0</v>
      </c>
      <c r="R82" s="37"/>
      <c r="S82" s="37"/>
      <c r="T82" s="37"/>
      <c r="U82" s="37"/>
      <c r="V82" s="37"/>
      <c r="W82" s="183">
        <v>30000</v>
      </c>
      <c r="X82" s="320">
        <f>0-30000</f>
        <v>-30000</v>
      </c>
      <c r="Y82" s="320"/>
      <c r="Z82" s="353"/>
      <c r="AA82" s="37">
        <v>30000</v>
      </c>
      <c r="AB82" s="37">
        <v>30000</v>
      </c>
    </row>
    <row r="83" spans="1:28" ht="25.5" hidden="1" x14ac:dyDescent="0.2">
      <c r="A83" s="44" t="s">
        <v>108</v>
      </c>
      <c r="B83" s="45"/>
      <c r="C83" s="14"/>
      <c r="D83" s="36" t="s">
        <v>419</v>
      </c>
      <c r="E83" s="15" t="s">
        <v>46</v>
      </c>
      <c r="F83" s="14"/>
      <c r="G83" s="14" t="s">
        <v>109</v>
      </c>
      <c r="H83" s="37"/>
      <c r="I83" s="37"/>
      <c r="J83" s="37"/>
      <c r="K83" s="38"/>
      <c r="L83" s="38"/>
      <c r="M83" s="38"/>
      <c r="N83" s="63"/>
      <c r="O83" s="37"/>
      <c r="P83" s="60">
        <v>0</v>
      </c>
      <c r="Q83" s="37">
        <f>R83+S83+T83+U83</f>
        <v>0</v>
      </c>
      <c r="R83" s="37"/>
      <c r="S83" s="37">
        <v>0</v>
      </c>
      <c r="T83" s="37"/>
      <c r="U83" s="37"/>
      <c r="V83" s="37"/>
      <c r="W83" s="183">
        <f>P83+Q83</f>
        <v>0</v>
      </c>
      <c r="X83" s="320"/>
      <c r="Y83" s="320"/>
      <c r="Z83" s="353"/>
      <c r="AA83" s="37"/>
      <c r="AB83" s="37">
        <f>U83+V83</f>
        <v>0</v>
      </c>
    </row>
    <row r="84" spans="1:28" x14ac:dyDescent="0.2">
      <c r="A84" s="44" t="s">
        <v>57</v>
      </c>
      <c r="B84" s="45"/>
      <c r="C84" s="14"/>
      <c r="D84" s="36" t="s">
        <v>34</v>
      </c>
      <c r="E84" s="15" t="s">
        <v>46</v>
      </c>
      <c r="F84" s="14"/>
      <c r="G84" s="14" t="s">
        <v>64</v>
      </c>
      <c r="H84" s="37">
        <v>20000</v>
      </c>
      <c r="I84" s="37"/>
      <c r="J84" s="37"/>
      <c r="K84" s="38"/>
      <c r="L84" s="38"/>
      <c r="M84" s="38"/>
      <c r="N84" s="63"/>
      <c r="O84" s="37">
        <f>20000*80%</f>
        <v>16000</v>
      </c>
      <c r="P84" s="60">
        <v>38201.550000000003</v>
      </c>
      <c r="Q84" s="37">
        <f>R84+S84+T84+U84</f>
        <v>0</v>
      </c>
      <c r="R84" s="37"/>
      <c r="S84" s="37"/>
      <c r="T84" s="37"/>
      <c r="U84" s="37"/>
      <c r="V84" s="37"/>
      <c r="W84" s="183">
        <v>38201.550000000003</v>
      </c>
      <c r="X84" s="320">
        <f>9201.55-W84</f>
        <v>-29000.000000000004</v>
      </c>
      <c r="Y84" s="320"/>
      <c r="Z84" s="353"/>
      <c r="AA84" s="37">
        <v>30000</v>
      </c>
      <c r="AB84" s="37">
        <v>38201.550000000003</v>
      </c>
    </row>
    <row r="85" spans="1:28" hidden="1" x14ac:dyDescent="0.2">
      <c r="A85" s="44" t="s">
        <v>110</v>
      </c>
      <c r="B85" s="45"/>
      <c r="C85" s="14"/>
      <c r="D85" s="14"/>
      <c r="E85" s="15" t="s">
        <v>46</v>
      </c>
      <c r="F85" s="14"/>
      <c r="G85" s="14" t="s">
        <v>64</v>
      </c>
      <c r="H85" s="37">
        <v>50000</v>
      </c>
      <c r="I85" s="37">
        <f t="shared" si="50"/>
        <v>16000</v>
      </c>
      <c r="J85" s="37">
        <v>0</v>
      </c>
      <c r="K85" s="38">
        <v>0</v>
      </c>
      <c r="L85" s="38">
        <v>0</v>
      </c>
      <c r="M85" s="38">
        <v>16000</v>
      </c>
      <c r="N85" s="38">
        <f t="shared" si="51"/>
        <v>66000</v>
      </c>
      <c r="O85" s="37">
        <f>50000*80%</f>
        <v>40000</v>
      </c>
      <c r="P85" s="60">
        <v>0</v>
      </c>
      <c r="Q85" s="37"/>
      <c r="R85" s="37"/>
      <c r="S85" s="37"/>
      <c r="T85" s="37"/>
      <c r="U85" s="37"/>
      <c r="V85" s="37"/>
      <c r="W85" s="183"/>
      <c r="X85" s="320"/>
      <c r="Y85" s="320"/>
      <c r="Z85" s="353"/>
      <c r="AA85" s="37"/>
      <c r="AB85" s="37"/>
    </row>
    <row r="86" spans="1:28" hidden="1" x14ac:dyDescent="0.2">
      <c r="A86" s="64" t="s">
        <v>111</v>
      </c>
      <c r="B86" s="65">
        <v>804</v>
      </c>
      <c r="C86" s="66" t="s">
        <v>83</v>
      </c>
      <c r="D86" s="67" t="s">
        <v>112</v>
      </c>
      <c r="E86" s="66" t="s">
        <v>113</v>
      </c>
      <c r="F86" s="66" t="s">
        <v>114</v>
      </c>
      <c r="G86" s="66"/>
      <c r="H86" s="68">
        <f t="shared" ref="H86:P86" si="52">H87</f>
        <v>200309.54</v>
      </c>
      <c r="I86" s="68">
        <f t="shared" si="52"/>
        <v>0</v>
      </c>
      <c r="J86" s="68">
        <f t="shared" si="52"/>
        <v>0</v>
      </c>
      <c r="K86" s="68">
        <f t="shared" si="52"/>
        <v>0</v>
      </c>
      <c r="L86" s="68">
        <f t="shared" si="52"/>
        <v>0</v>
      </c>
      <c r="M86" s="68">
        <f t="shared" si="52"/>
        <v>0</v>
      </c>
      <c r="N86" s="69">
        <f t="shared" si="52"/>
        <v>200309.54</v>
      </c>
      <c r="O86" s="68">
        <f t="shared" si="52"/>
        <v>200309.54</v>
      </c>
      <c r="P86" s="68">
        <f t="shared" si="52"/>
        <v>0</v>
      </c>
      <c r="Q86" s="68"/>
      <c r="R86" s="68"/>
      <c r="S86" s="37"/>
      <c r="T86" s="37"/>
      <c r="U86" s="37"/>
      <c r="V86" s="37"/>
      <c r="W86" s="183"/>
      <c r="X86" s="320"/>
      <c r="Y86" s="320"/>
      <c r="Z86" s="353"/>
      <c r="AA86" s="68"/>
      <c r="AB86" s="37"/>
    </row>
    <row r="87" spans="1:28" ht="24" hidden="1" x14ac:dyDescent="0.2">
      <c r="A87" s="70" t="s">
        <v>115</v>
      </c>
      <c r="B87" s="65"/>
      <c r="C87" s="71"/>
      <c r="D87" s="71"/>
      <c r="E87" s="71"/>
      <c r="F87" s="72" t="s">
        <v>116</v>
      </c>
      <c r="G87" s="66"/>
      <c r="H87" s="73">
        <v>200309.54</v>
      </c>
      <c r="I87" s="37">
        <f>SUM(J87:M87)</f>
        <v>0</v>
      </c>
      <c r="J87" s="74">
        <v>0</v>
      </c>
      <c r="K87" s="74">
        <v>0</v>
      </c>
      <c r="L87" s="74">
        <v>0</v>
      </c>
      <c r="M87" s="74">
        <v>0</v>
      </c>
      <c r="N87" s="38">
        <f>H87+I87</f>
        <v>200309.54</v>
      </c>
      <c r="O87" s="73">
        <v>200309.54</v>
      </c>
      <c r="P87" s="73">
        <v>0</v>
      </c>
      <c r="Q87" s="73"/>
      <c r="R87" s="73"/>
      <c r="S87" s="37"/>
      <c r="T87" s="37"/>
      <c r="U87" s="37"/>
      <c r="V87" s="37"/>
      <c r="W87" s="183"/>
      <c r="X87" s="320"/>
      <c r="Y87" s="320"/>
      <c r="Z87" s="353"/>
      <c r="AA87" s="73"/>
      <c r="AB87" s="37"/>
    </row>
    <row r="88" spans="1:28" x14ac:dyDescent="0.2">
      <c r="A88" s="29" t="s">
        <v>65</v>
      </c>
      <c r="B88" s="30">
        <v>804</v>
      </c>
      <c r="C88" s="31" t="s">
        <v>83</v>
      </c>
      <c r="D88" s="42" t="s">
        <v>34</v>
      </c>
      <c r="E88" s="32" t="s">
        <v>19</v>
      </c>
      <c r="F88" s="31" t="s">
        <v>66</v>
      </c>
      <c r="G88" s="31"/>
      <c r="H88" s="33">
        <f t="shared" ref="H88:N88" si="53">SUM(H89:H91)</f>
        <v>0</v>
      </c>
      <c r="I88" s="33">
        <f t="shared" si="53"/>
        <v>0</v>
      </c>
      <c r="J88" s="33">
        <f t="shared" si="53"/>
        <v>0</v>
      </c>
      <c r="K88" s="34">
        <f t="shared" si="53"/>
        <v>0</v>
      </c>
      <c r="L88" s="34">
        <f t="shared" si="53"/>
        <v>0</v>
      </c>
      <c r="M88" s="34">
        <f t="shared" si="53"/>
        <v>0</v>
      </c>
      <c r="N88" s="34">
        <f t="shared" si="53"/>
        <v>0</v>
      </c>
      <c r="O88" s="33">
        <f>SUM(O89:O91)</f>
        <v>74564</v>
      </c>
      <c r="P88" s="281">
        <f>P91+P92</f>
        <v>17424</v>
      </c>
      <c r="Q88" s="281">
        <f t="shared" ref="Q88:W88" si="54">Q91+Q92</f>
        <v>0</v>
      </c>
      <c r="R88" s="281">
        <f t="shared" si="54"/>
        <v>0</v>
      </c>
      <c r="S88" s="281">
        <f t="shared" si="54"/>
        <v>0</v>
      </c>
      <c r="T88" s="281">
        <f t="shared" si="54"/>
        <v>0</v>
      </c>
      <c r="U88" s="281">
        <f t="shared" si="54"/>
        <v>0</v>
      </c>
      <c r="V88" s="281">
        <f t="shared" si="54"/>
        <v>0</v>
      </c>
      <c r="W88" s="285">
        <f t="shared" si="54"/>
        <v>17424</v>
      </c>
      <c r="X88" s="320"/>
      <c r="Y88" s="320"/>
      <c r="Z88" s="353"/>
      <c r="AA88" s="281">
        <f>AA91+AA92</f>
        <v>0</v>
      </c>
      <c r="AB88" s="281">
        <f t="shared" ref="AB88" si="55">AB91+AB92</f>
        <v>17424</v>
      </c>
    </row>
    <row r="89" spans="1:28" s="80" customFormat="1" ht="25.5" hidden="1" x14ac:dyDescent="0.2">
      <c r="A89" s="75" t="s">
        <v>117</v>
      </c>
      <c r="B89" s="76"/>
      <c r="C89" s="36"/>
      <c r="D89" s="36"/>
      <c r="E89" s="77" t="s">
        <v>118</v>
      </c>
      <c r="F89" s="36"/>
      <c r="G89" s="36" t="s">
        <v>119</v>
      </c>
      <c r="H89" s="78">
        <v>0</v>
      </c>
      <c r="I89" s="37">
        <f>SUM(J89:M89)</f>
        <v>0</v>
      </c>
      <c r="J89" s="78"/>
      <c r="K89" s="79"/>
      <c r="L89" s="79"/>
      <c r="M89" s="79"/>
      <c r="N89" s="39">
        <f>H89+I89</f>
        <v>0</v>
      </c>
      <c r="O89" s="78">
        <v>54564</v>
      </c>
      <c r="P89" s="74">
        <v>0</v>
      </c>
      <c r="Q89" s="78"/>
      <c r="R89" s="78"/>
      <c r="S89" s="37"/>
      <c r="T89" s="37"/>
      <c r="U89" s="37"/>
      <c r="V89" s="37"/>
      <c r="W89" s="183"/>
      <c r="X89" s="322"/>
      <c r="Y89" s="322"/>
      <c r="Z89" s="357"/>
      <c r="AA89" s="78"/>
      <c r="AB89" s="37"/>
    </row>
    <row r="90" spans="1:28" s="80" customFormat="1" ht="25.5" hidden="1" x14ac:dyDescent="0.2">
      <c r="A90" s="75" t="s">
        <v>120</v>
      </c>
      <c r="B90" s="76"/>
      <c r="C90" s="36"/>
      <c r="D90" s="36"/>
      <c r="E90" s="77" t="s">
        <v>121</v>
      </c>
      <c r="F90" s="36"/>
      <c r="G90" s="36" t="s">
        <v>122</v>
      </c>
      <c r="H90" s="78">
        <v>0</v>
      </c>
      <c r="I90" s="37">
        <f>SUM(J90:M90)</f>
        <v>0</v>
      </c>
      <c r="J90" s="78"/>
      <c r="K90" s="79"/>
      <c r="L90" s="79"/>
      <c r="M90" s="79"/>
      <c r="N90" s="39">
        <f>H90+I90</f>
        <v>0</v>
      </c>
      <c r="O90" s="78">
        <v>20000</v>
      </c>
      <c r="P90" s="74">
        <v>0</v>
      </c>
      <c r="Q90" s="78"/>
      <c r="R90" s="78"/>
      <c r="S90" s="37"/>
      <c r="T90" s="37"/>
      <c r="U90" s="37"/>
      <c r="V90" s="37"/>
      <c r="W90" s="183"/>
      <c r="X90" s="322"/>
      <c r="Y90" s="322"/>
      <c r="Z90" s="357"/>
      <c r="AA90" s="78"/>
      <c r="AB90" s="37"/>
    </row>
    <row r="91" spans="1:28" ht="25.5" x14ac:dyDescent="0.2">
      <c r="A91" s="59" t="s">
        <v>123</v>
      </c>
      <c r="B91" s="13"/>
      <c r="C91" s="14"/>
      <c r="D91" s="14"/>
      <c r="E91" s="15" t="s">
        <v>124</v>
      </c>
      <c r="F91" s="14" t="s">
        <v>496</v>
      </c>
      <c r="G91" s="14" t="s">
        <v>69</v>
      </c>
      <c r="H91" s="37">
        <v>0</v>
      </c>
      <c r="I91" s="37">
        <f>SUM(J91:M91)</f>
        <v>0</v>
      </c>
      <c r="J91" s="37">
        <v>0</v>
      </c>
      <c r="K91" s="38">
        <v>0</v>
      </c>
      <c r="L91" s="38">
        <v>0</v>
      </c>
      <c r="M91" s="38">
        <v>0</v>
      </c>
      <c r="N91" s="39">
        <f>H91+I91</f>
        <v>0</v>
      </c>
      <c r="O91" s="37">
        <v>0</v>
      </c>
      <c r="P91" s="60">
        <v>17424</v>
      </c>
      <c r="Q91" s="37">
        <f>R91+S91+T91+U91+V91</f>
        <v>0</v>
      </c>
      <c r="R91" s="37"/>
      <c r="S91" s="37"/>
      <c r="T91" s="37"/>
      <c r="U91" s="37"/>
      <c r="V91" s="37"/>
      <c r="W91" s="183">
        <v>17424</v>
      </c>
      <c r="X91" s="320">
        <f>17424-W91</f>
        <v>0</v>
      </c>
      <c r="Y91" s="320"/>
      <c r="Z91" s="353"/>
      <c r="AA91" s="37"/>
      <c r="AB91" s="37">
        <v>17424</v>
      </c>
    </row>
    <row r="92" spans="1:28" ht="25.5" hidden="1" x14ac:dyDescent="0.2">
      <c r="A92" s="59" t="s">
        <v>123</v>
      </c>
      <c r="B92" s="13"/>
      <c r="C92" s="14"/>
      <c r="D92" s="14"/>
      <c r="E92" s="15"/>
      <c r="F92" s="14"/>
      <c r="G92" s="14" t="s">
        <v>69</v>
      </c>
      <c r="H92" s="37"/>
      <c r="I92" s="37"/>
      <c r="J92" s="37"/>
      <c r="K92" s="38"/>
      <c r="L92" s="38"/>
      <c r="M92" s="38"/>
      <c r="N92" s="39"/>
      <c r="O92" s="37"/>
      <c r="P92" s="60">
        <v>0</v>
      </c>
      <c r="Q92" s="37">
        <f>R92+S92+T92+U92</f>
        <v>0</v>
      </c>
      <c r="R92" s="37"/>
      <c r="S92" s="37"/>
      <c r="T92" s="37"/>
      <c r="U92" s="37"/>
      <c r="V92" s="37"/>
      <c r="W92" s="37">
        <f>P92+Q92</f>
        <v>0</v>
      </c>
      <c r="X92" s="320"/>
      <c r="Y92" s="320"/>
      <c r="Z92" s="353"/>
      <c r="AA92" s="37"/>
      <c r="AB92" s="37">
        <f>U92+V92</f>
        <v>0</v>
      </c>
    </row>
    <row r="93" spans="1:28" x14ac:dyDescent="0.2">
      <c r="A93" s="29" t="s">
        <v>70</v>
      </c>
      <c r="B93" s="30">
        <v>804</v>
      </c>
      <c r="C93" s="31" t="s">
        <v>83</v>
      </c>
      <c r="D93" s="42" t="s">
        <v>34</v>
      </c>
      <c r="E93" s="32" t="s">
        <v>46</v>
      </c>
      <c r="F93" s="31" t="s">
        <v>71</v>
      </c>
      <c r="G93" s="31"/>
      <c r="H93" s="33">
        <f t="shared" ref="H93:N93" si="56">H94+H97</f>
        <v>160000</v>
      </c>
      <c r="I93" s="33">
        <f t="shared" si="56"/>
        <v>26531.55</v>
      </c>
      <c r="J93" s="33">
        <f t="shared" si="56"/>
        <v>0</v>
      </c>
      <c r="K93" s="34">
        <f t="shared" si="56"/>
        <v>0</v>
      </c>
      <c r="L93" s="34">
        <f t="shared" si="56"/>
        <v>0</v>
      </c>
      <c r="M93" s="34">
        <f t="shared" si="56"/>
        <v>26531.55</v>
      </c>
      <c r="N93" s="35">
        <f t="shared" si="56"/>
        <v>186531.55</v>
      </c>
      <c r="O93" s="33">
        <f>O94+O97</f>
        <v>128000</v>
      </c>
      <c r="P93" s="281">
        <f>P94+P97</f>
        <v>119416</v>
      </c>
      <c r="Q93" s="281">
        <f t="shared" ref="Q93:W93" si="57">Q94+Q97</f>
        <v>93915.7</v>
      </c>
      <c r="R93" s="281">
        <f t="shared" si="57"/>
        <v>0</v>
      </c>
      <c r="S93" s="281">
        <f t="shared" si="57"/>
        <v>93915.7</v>
      </c>
      <c r="T93" s="281">
        <f t="shared" si="57"/>
        <v>0</v>
      </c>
      <c r="U93" s="281">
        <f t="shared" si="57"/>
        <v>0</v>
      </c>
      <c r="V93" s="281">
        <f t="shared" si="57"/>
        <v>0</v>
      </c>
      <c r="W93" s="281">
        <f t="shared" si="57"/>
        <v>248931.7</v>
      </c>
      <c r="X93" s="320"/>
      <c r="Y93" s="320"/>
      <c r="Z93" s="353"/>
      <c r="AA93" s="281">
        <f>AA94+AA97</f>
        <v>60000</v>
      </c>
      <c r="AB93" s="281">
        <f t="shared" ref="AB93" si="58">AB94+AB97</f>
        <v>248931.7</v>
      </c>
    </row>
    <row r="94" spans="1:28" x14ac:dyDescent="0.2">
      <c r="A94" s="12" t="s">
        <v>72</v>
      </c>
      <c r="B94" s="13">
        <v>804</v>
      </c>
      <c r="C94" s="14" t="s">
        <v>83</v>
      </c>
      <c r="D94" s="36" t="s">
        <v>34</v>
      </c>
      <c r="E94" s="15" t="s">
        <v>19</v>
      </c>
      <c r="F94" s="14" t="s">
        <v>73</v>
      </c>
      <c r="G94" s="31"/>
      <c r="H94" s="37">
        <f>SUM(H95:H96)</f>
        <v>50000</v>
      </c>
      <c r="I94" s="37">
        <f t="shared" ref="I94:N94" si="59">SUM(I95:I96)</f>
        <v>0</v>
      </c>
      <c r="J94" s="37">
        <f t="shared" si="59"/>
        <v>0</v>
      </c>
      <c r="K94" s="38">
        <f t="shared" si="59"/>
        <v>0</v>
      </c>
      <c r="L94" s="38">
        <f t="shared" si="59"/>
        <v>0</v>
      </c>
      <c r="M94" s="38">
        <f t="shared" si="59"/>
        <v>0</v>
      </c>
      <c r="N94" s="39">
        <f t="shared" si="59"/>
        <v>50000</v>
      </c>
      <c r="O94" s="37">
        <f>SUM(O95:O96)</f>
        <v>40000</v>
      </c>
      <c r="P94" s="60">
        <f>SUM(P95:P96)</f>
        <v>7150</v>
      </c>
      <c r="Q94" s="60">
        <f>SUM(Q95:Q96)</f>
        <v>0</v>
      </c>
      <c r="R94" s="60">
        <f t="shared" ref="R94:V94" si="60">SUM(R95:R96)</f>
        <v>0</v>
      </c>
      <c r="S94" s="60">
        <f t="shared" si="60"/>
        <v>0</v>
      </c>
      <c r="T94" s="60">
        <f t="shared" si="60"/>
        <v>0</v>
      </c>
      <c r="U94" s="60">
        <f t="shared" si="60"/>
        <v>0</v>
      </c>
      <c r="V94" s="60">
        <f t="shared" si="60"/>
        <v>0</v>
      </c>
      <c r="W94" s="291">
        <f>SUM(W95:W96)</f>
        <v>20000</v>
      </c>
      <c r="X94" s="320"/>
      <c r="Y94" s="320"/>
      <c r="Z94" s="353"/>
      <c r="AA94" s="60">
        <f>SUM(AA95:AA96)</f>
        <v>0</v>
      </c>
      <c r="AB94" s="60">
        <f t="shared" ref="AB94" si="61">SUM(AB95:AB96)</f>
        <v>20000</v>
      </c>
    </row>
    <row r="95" spans="1:28" ht="51" x14ac:dyDescent="0.2">
      <c r="A95" s="46" t="s">
        <v>125</v>
      </c>
      <c r="B95" s="13"/>
      <c r="C95" s="14"/>
      <c r="D95" s="14"/>
      <c r="E95" s="15" t="s">
        <v>44</v>
      </c>
      <c r="F95" s="14"/>
      <c r="G95" s="36" t="s">
        <v>75</v>
      </c>
      <c r="H95" s="37">
        <v>30000</v>
      </c>
      <c r="I95" s="37">
        <f>SUM(J95:M95)</f>
        <v>0</v>
      </c>
      <c r="J95" s="37">
        <v>0</v>
      </c>
      <c r="K95" s="38"/>
      <c r="L95" s="38"/>
      <c r="M95" s="38"/>
      <c r="N95" s="39">
        <f>H95+I95</f>
        <v>30000</v>
      </c>
      <c r="O95" s="37">
        <f>30000*80%</f>
        <v>24000</v>
      </c>
      <c r="P95" s="60">
        <v>7150</v>
      </c>
      <c r="Q95" s="37">
        <f>R95+S95+T95+U95+V95</f>
        <v>0</v>
      </c>
      <c r="R95" s="37"/>
      <c r="S95" s="37"/>
      <c r="T95" s="37"/>
      <c r="U95" s="37"/>
      <c r="V95" s="37"/>
      <c r="W95" s="183">
        <v>20000</v>
      </c>
      <c r="X95" s="320"/>
      <c r="Y95" s="320"/>
      <c r="Z95" s="353"/>
      <c r="AA95" s="37"/>
      <c r="AB95" s="183">
        <v>20000</v>
      </c>
    </row>
    <row r="96" spans="1:28" ht="51" hidden="1" x14ac:dyDescent="0.2">
      <c r="A96" s="46" t="s">
        <v>125</v>
      </c>
      <c r="B96" s="47"/>
      <c r="C96" s="14"/>
      <c r="D96" s="14"/>
      <c r="E96" s="15" t="s">
        <v>46</v>
      </c>
      <c r="F96" s="14"/>
      <c r="G96" s="14" t="s">
        <v>75</v>
      </c>
      <c r="H96" s="37">
        <v>20000</v>
      </c>
      <c r="I96" s="37">
        <f>SUM(J96:M96)</f>
        <v>0</v>
      </c>
      <c r="J96" s="37">
        <v>0</v>
      </c>
      <c r="K96" s="38">
        <v>0</v>
      </c>
      <c r="L96" s="38">
        <v>0</v>
      </c>
      <c r="M96" s="38">
        <v>0</v>
      </c>
      <c r="N96" s="39">
        <f>H96+I96</f>
        <v>20000</v>
      </c>
      <c r="O96" s="37">
        <f>20000*80%</f>
        <v>16000</v>
      </c>
      <c r="P96" s="60">
        <v>0</v>
      </c>
      <c r="Q96" s="37">
        <f>R96+S96+T96+U96</f>
        <v>0</v>
      </c>
      <c r="R96" s="37"/>
      <c r="S96" s="37"/>
      <c r="T96" s="37"/>
      <c r="U96" s="37"/>
      <c r="V96" s="37"/>
      <c r="W96" s="183">
        <f>P96+Q96</f>
        <v>0</v>
      </c>
      <c r="X96" s="320"/>
      <c r="Y96" s="320"/>
      <c r="Z96" s="353"/>
      <c r="AA96" s="37"/>
      <c r="AB96" s="37">
        <f>U96+V96</f>
        <v>0</v>
      </c>
    </row>
    <row r="97" spans="1:28" ht="25.5" x14ac:dyDescent="0.2">
      <c r="A97" s="12" t="s">
        <v>76</v>
      </c>
      <c r="B97" s="13">
        <v>804</v>
      </c>
      <c r="C97" s="14" t="s">
        <v>83</v>
      </c>
      <c r="D97" s="36" t="s">
        <v>34</v>
      </c>
      <c r="E97" s="15" t="s">
        <v>19</v>
      </c>
      <c r="F97" s="14" t="s">
        <v>77</v>
      </c>
      <c r="G97" s="14"/>
      <c r="H97" s="37">
        <f t="shared" ref="H97:N97" si="62">SUM(H98:H100)</f>
        <v>110000</v>
      </c>
      <c r="I97" s="37">
        <f t="shared" si="62"/>
        <v>26531.55</v>
      </c>
      <c r="J97" s="37">
        <f t="shared" si="62"/>
        <v>0</v>
      </c>
      <c r="K97" s="38">
        <f t="shared" si="62"/>
        <v>0</v>
      </c>
      <c r="L97" s="38">
        <f t="shared" si="62"/>
        <v>0</v>
      </c>
      <c r="M97" s="38">
        <f t="shared" si="62"/>
        <v>26531.55</v>
      </c>
      <c r="N97" s="39">
        <f t="shared" si="62"/>
        <v>136531.54999999999</v>
      </c>
      <c r="O97" s="37">
        <f>SUM(O98:O100)</f>
        <v>88000</v>
      </c>
      <c r="P97" s="60">
        <f>SUM(P98:P100)</f>
        <v>112266</v>
      </c>
      <c r="Q97" s="37">
        <f t="shared" ref="Q97:W97" si="63">Q99+Q100</f>
        <v>93915.7</v>
      </c>
      <c r="R97" s="37">
        <f t="shared" si="63"/>
        <v>0</v>
      </c>
      <c r="S97" s="37">
        <f t="shared" si="63"/>
        <v>93915.7</v>
      </c>
      <c r="T97" s="37">
        <f t="shared" si="63"/>
        <v>0</v>
      </c>
      <c r="U97" s="37">
        <f t="shared" si="63"/>
        <v>0</v>
      </c>
      <c r="V97" s="37">
        <f t="shared" si="63"/>
        <v>0</v>
      </c>
      <c r="W97" s="183">
        <f t="shared" si="63"/>
        <v>228931.7</v>
      </c>
      <c r="X97" s="320"/>
      <c r="Y97" s="320"/>
      <c r="Z97" s="353"/>
      <c r="AA97" s="37">
        <f>AA99+AA100</f>
        <v>60000</v>
      </c>
      <c r="AB97" s="37">
        <f t="shared" ref="AB97" si="64">AB99+AB100</f>
        <v>228931.7</v>
      </c>
    </row>
    <row r="98" spans="1:28" hidden="1" x14ac:dyDescent="0.2">
      <c r="A98" s="46" t="s">
        <v>126</v>
      </c>
      <c r="B98" s="47"/>
      <c r="C98" s="14"/>
      <c r="D98" s="14"/>
      <c r="E98" s="15" t="s">
        <v>46</v>
      </c>
      <c r="F98" s="14"/>
      <c r="G98" s="14" t="s">
        <v>127</v>
      </c>
      <c r="H98" s="81">
        <v>0</v>
      </c>
      <c r="I98" s="37">
        <f>SUM(J98:M98)</f>
        <v>0</v>
      </c>
      <c r="J98" s="81"/>
      <c r="K98" s="82"/>
      <c r="L98" s="82"/>
      <c r="M98" s="82"/>
      <c r="N98" s="39">
        <f>H98+I98</f>
        <v>0</v>
      </c>
      <c r="O98" s="81">
        <v>0</v>
      </c>
      <c r="P98" s="283">
        <v>0</v>
      </c>
      <c r="Q98" s="81"/>
      <c r="R98" s="81"/>
      <c r="S98" s="81"/>
      <c r="T98" s="81"/>
      <c r="U98" s="81"/>
      <c r="V98" s="81"/>
      <c r="W98" s="183"/>
      <c r="X98" s="320"/>
      <c r="Y98" s="320"/>
      <c r="Z98" s="353"/>
      <c r="AA98" s="81"/>
      <c r="AB98" s="37"/>
    </row>
    <row r="99" spans="1:28" ht="25.5" x14ac:dyDescent="0.2">
      <c r="A99" s="46" t="s">
        <v>128</v>
      </c>
      <c r="B99" s="47"/>
      <c r="C99" s="14"/>
      <c r="D99" s="14"/>
      <c r="E99" s="15" t="s">
        <v>44</v>
      </c>
      <c r="F99" s="14"/>
      <c r="G99" s="14" t="s">
        <v>81</v>
      </c>
      <c r="H99" s="81">
        <v>60000</v>
      </c>
      <c r="I99" s="37">
        <f>SUM(J99:M99)</f>
        <v>26531.55</v>
      </c>
      <c r="J99" s="81">
        <v>0</v>
      </c>
      <c r="K99" s="82">
        <v>0</v>
      </c>
      <c r="L99" s="82">
        <v>0</v>
      </c>
      <c r="M99" s="82">
        <v>26531.55</v>
      </c>
      <c r="N99" s="39">
        <f>H99+I99</f>
        <v>86531.55</v>
      </c>
      <c r="O99" s="81">
        <f>60000*80%</f>
        <v>48000</v>
      </c>
      <c r="P99" s="283">
        <v>65016</v>
      </c>
      <c r="Q99" s="81">
        <f>R99+S99+T99+U99+V99</f>
        <v>93915.7</v>
      </c>
      <c r="R99" s="81"/>
      <c r="S99" s="81">
        <v>93915.7</v>
      </c>
      <c r="T99" s="81"/>
      <c r="U99" s="81">
        <v>0</v>
      </c>
      <c r="V99" s="81"/>
      <c r="W99" s="183">
        <v>158931.70000000001</v>
      </c>
      <c r="X99" s="320">
        <f>29586-W99</f>
        <v>-129345.70000000001</v>
      </c>
      <c r="Y99" s="320"/>
      <c r="Z99" s="353"/>
      <c r="AA99" s="81">
        <v>40000</v>
      </c>
      <c r="AB99" s="37">
        <v>158931.70000000001</v>
      </c>
    </row>
    <row r="100" spans="1:28" ht="25.5" x14ac:dyDescent="0.2">
      <c r="A100" s="46" t="s">
        <v>128</v>
      </c>
      <c r="B100" s="47"/>
      <c r="C100" s="14"/>
      <c r="D100" s="14"/>
      <c r="E100" s="15" t="s">
        <v>46</v>
      </c>
      <c r="F100" s="14"/>
      <c r="G100" s="14" t="s">
        <v>81</v>
      </c>
      <c r="H100" s="81">
        <v>50000</v>
      </c>
      <c r="I100" s="37">
        <f>SUM(J100:M100)</f>
        <v>0</v>
      </c>
      <c r="J100" s="81">
        <v>0</v>
      </c>
      <c r="K100" s="82">
        <v>0</v>
      </c>
      <c r="L100" s="82">
        <v>0</v>
      </c>
      <c r="M100" s="82">
        <v>0</v>
      </c>
      <c r="N100" s="39">
        <f>H100+I100</f>
        <v>50000</v>
      </c>
      <c r="O100" s="81">
        <f>50000*80%</f>
        <v>40000</v>
      </c>
      <c r="P100" s="283">
        <v>47250</v>
      </c>
      <c r="Q100" s="81">
        <f>R100+S100+T100+U100+V100</f>
        <v>0</v>
      </c>
      <c r="R100" s="81"/>
      <c r="S100" s="81"/>
      <c r="T100" s="81"/>
      <c r="U100" s="81">
        <v>0</v>
      </c>
      <c r="V100" s="81"/>
      <c r="W100" s="183">
        <v>70000</v>
      </c>
      <c r="X100" s="320">
        <f>27250-W100</f>
        <v>-42750</v>
      </c>
      <c r="Y100" s="320"/>
      <c r="Z100" s="353"/>
      <c r="AA100" s="81">
        <v>20000</v>
      </c>
      <c r="AB100" s="37">
        <v>70000</v>
      </c>
    </row>
    <row r="101" spans="1:28" ht="25.5" hidden="1" x14ac:dyDescent="0.2">
      <c r="A101" s="83" t="s">
        <v>129</v>
      </c>
      <c r="B101" s="84">
        <v>804</v>
      </c>
      <c r="C101" s="85" t="s">
        <v>130</v>
      </c>
      <c r="D101" s="85" t="s">
        <v>135</v>
      </c>
      <c r="E101" s="86" t="s">
        <v>19</v>
      </c>
      <c r="F101" s="85" t="s">
        <v>19</v>
      </c>
      <c r="G101" s="87"/>
      <c r="H101" s="88">
        <f>H103+H104+H106+H108</f>
        <v>0</v>
      </c>
      <c r="I101" s="88">
        <f t="shared" ref="I101:N101" si="65">I103+I104+I106+I108</f>
        <v>-8321.84</v>
      </c>
      <c r="J101" s="88">
        <f t="shared" si="65"/>
        <v>-8321.84</v>
      </c>
      <c r="K101" s="88">
        <f t="shared" si="65"/>
        <v>0</v>
      </c>
      <c r="L101" s="88">
        <f t="shared" si="65"/>
        <v>0</v>
      </c>
      <c r="M101" s="88">
        <f t="shared" si="65"/>
        <v>0</v>
      </c>
      <c r="N101" s="88">
        <f t="shared" si="65"/>
        <v>-8321.84</v>
      </c>
      <c r="O101" s="88">
        <f>O103+O104+O106+O108</f>
        <v>0</v>
      </c>
      <c r="P101" s="284">
        <f t="shared" ref="P101:W101" si="66">P102+P103+P104+P106+P108+P119+P120</f>
        <v>300000</v>
      </c>
      <c r="Q101" s="284">
        <f t="shared" si="66"/>
        <v>226002.32</v>
      </c>
      <c r="R101" s="284">
        <f t="shared" si="66"/>
        <v>0</v>
      </c>
      <c r="S101" s="284">
        <f t="shared" si="66"/>
        <v>226002.32</v>
      </c>
      <c r="T101" s="284">
        <f t="shared" si="66"/>
        <v>0</v>
      </c>
      <c r="U101" s="284">
        <f t="shared" si="66"/>
        <v>0</v>
      </c>
      <c r="V101" s="284">
        <f t="shared" si="66"/>
        <v>0</v>
      </c>
      <c r="W101" s="284">
        <f t="shared" si="66"/>
        <v>0</v>
      </c>
      <c r="X101" s="320"/>
      <c r="Y101" s="320"/>
      <c r="Z101" s="353"/>
      <c r="AA101" s="284">
        <f>AA102+AA103+AA104+AA106+AA108</f>
        <v>0</v>
      </c>
      <c r="AB101" s="284">
        <f t="shared" ref="AB101" si="67">AB102+AB103+AB104+AB106+AB108+AB119+AB120</f>
        <v>0</v>
      </c>
    </row>
    <row r="102" spans="1:28" hidden="1" x14ac:dyDescent="0.2">
      <c r="A102" s="54" t="s">
        <v>26</v>
      </c>
      <c r="B102" s="274" t="s">
        <v>131</v>
      </c>
      <c r="C102" s="104" t="s">
        <v>130</v>
      </c>
      <c r="D102" s="49" t="s">
        <v>135</v>
      </c>
      <c r="E102" s="139" t="s">
        <v>23</v>
      </c>
      <c r="F102" s="104" t="s">
        <v>27</v>
      </c>
      <c r="G102" s="275"/>
      <c r="H102" s="276"/>
      <c r="I102" s="276"/>
      <c r="J102" s="276"/>
      <c r="K102" s="276"/>
      <c r="L102" s="276"/>
      <c r="M102" s="276"/>
      <c r="N102" s="277"/>
      <c r="O102" s="276"/>
      <c r="P102" s="285">
        <v>0</v>
      </c>
      <c r="Q102" s="285">
        <f>R102+S102+T102+U102</f>
        <v>0</v>
      </c>
      <c r="R102" s="285"/>
      <c r="S102" s="285"/>
      <c r="T102" s="285"/>
      <c r="U102" s="285">
        <v>0</v>
      </c>
      <c r="V102" s="285"/>
      <c r="W102" s="37">
        <f>P102+Q102</f>
        <v>0</v>
      </c>
      <c r="X102" s="320"/>
      <c r="Y102" s="320"/>
      <c r="Z102" s="353"/>
      <c r="AA102" s="285"/>
      <c r="AB102" s="37">
        <f>U102+V102</f>
        <v>0</v>
      </c>
    </row>
    <row r="103" spans="1:28" s="58" customFormat="1" hidden="1" x14ac:dyDescent="0.2">
      <c r="A103" s="89" t="s">
        <v>86</v>
      </c>
      <c r="B103" s="90" t="s">
        <v>131</v>
      </c>
      <c r="C103" s="49" t="s">
        <v>130</v>
      </c>
      <c r="D103" s="49" t="s">
        <v>135</v>
      </c>
      <c r="E103" s="49" t="s">
        <v>44</v>
      </c>
      <c r="F103" s="49" t="s">
        <v>45</v>
      </c>
      <c r="G103" s="49"/>
      <c r="H103" s="264">
        <v>0</v>
      </c>
      <c r="I103" s="229">
        <f>SUM(J103:M103)</f>
        <v>-2400</v>
      </c>
      <c r="J103" s="264">
        <v>-2400</v>
      </c>
      <c r="K103" s="265">
        <v>0</v>
      </c>
      <c r="L103" s="265">
        <v>0</v>
      </c>
      <c r="M103" s="265">
        <v>0</v>
      </c>
      <c r="N103" s="266">
        <f>H103+I103</f>
        <v>-2400</v>
      </c>
      <c r="O103" s="264">
        <v>0</v>
      </c>
      <c r="P103" s="286">
        <v>0</v>
      </c>
      <c r="Q103" s="308">
        <f>R103+S103+T103+U103</f>
        <v>0</v>
      </c>
      <c r="R103" s="91">
        <v>0</v>
      </c>
      <c r="S103" s="91"/>
      <c r="T103" s="91"/>
      <c r="U103" s="91"/>
      <c r="V103" s="91"/>
      <c r="W103" s="37">
        <f>P103+Q103</f>
        <v>0</v>
      </c>
      <c r="X103" s="321"/>
      <c r="Y103" s="321"/>
      <c r="Z103" s="356"/>
      <c r="AA103" s="91">
        <v>0</v>
      </c>
      <c r="AB103" s="37">
        <f>U103+V103</f>
        <v>0</v>
      </c>
    </row>
    <row r="104" spans="1:28" hidden="1" x14ac:dyDescent="0.2">
      <c r="A104" s="89" t="s">
        <v>47</v>
      </c>
      <c r="B104" s="90" t="s">
        <v>131</v>
      </c>
      <c r="C104" s="49" t="s">
        <v>130</v>
      </c>
      <c r="D104" s="49" t="s">
        <v>135</v>
      </c>
      <c r="E104" s="49" t="s">
        <v>46</v>
      </c>
      <c r="F104" s="49" t="s">
        <v>48</v>
      </c>
      <c r="G104" s="49"/>
      <c r="H104" s="264">
        <f t="shared" ref="H104:W104" si="68">H105</f>
        <v>0</v>
      </c>
      <c r="I104" s="264">
        <f t="shared" si="68"/>
        <v>0</v>
      </c>
      <c r="J104" s="264">
        <f t="shared" si="68"/>
        <v>0</v>
      </c>
      <c r="K104" s="265">
        <f t="shared" si="68"/>
        <v>0</v>
      </c>
      <c r="L104" s="265">
        <f t="shared" si="68"/>
        <v>0</v>
      </c>
      <c r="M104" s="265">
        <f t="shared" si="68"/>
        <v>0</v>
      </c>
      <c r="N104" s="267">
        <f t="shared" si="68"/>
        <v>0</v>
      </c>
      <c r="O104" s="264">
        <f t="shared" si="68"/>
        <v>0</v>
      </c>
      <c r="P104" s="286">
        <f t="shared" si="68"/>
        <v>0</v>
      </c>
      <c r="Q104" s="91">
        <f t="shared" si="68"/>
        <v>0</v>
      </c>
      <c r="R104" s="91">
        <f t="shared" si="68"/>
        <v>0</v>
      </c>
      <c r="S104" s="91">
        <f t="shared" si="68"/>
        <v>0</v>
      </c>
      <c r="T104" s="91">
        <f t="shared" si="68"/>
        <v>0</v>
      </c>
      <c r="U104" s="91">
        <f t="shared" si="68"/>
        <v>0</v>
      </c>
      <c r="V104" s="91"/>
      <c r="W104" s="91">
        <f t="shared" si="68"/>
        <v>0</v>
      </c>
      <c r="X104" s="320"/>
      <c r="Y104" s="320"/>
      <c r="Z104" s="353"/>
      <c r="AA104" s="91">
        <f>AA105</f>
        <v>0</v>
      </c>
      <c r="AB104" s="91">
        <f t="shared" ref="AB104" si="69">AB105</f>
        <v>0</v>
      </c>
    </row>
    <row r="105" spans="1:28" ht="38.25" hidden="1" x14ac:dyDescent="0.2">
      <c r="A105" s="12" t="s">
        <v>132</v>
      </c>
      <c r="B105" s="47"/>
      <c r="C105" s="14"/>
      <c r="D105" s="14"/>
      <c r="E105" s="15"/>
      <c r="F105" s="14"/>
      <c r="G105" s="14" t="s">
        <v>49</v>
      </c>
      <c r="H105" s="268">
        <v>0</v>
      </c>
      <c r="I105" s="268">
        <f>SUM(J105:M105)</f>
        <v>0</v>
      </c>
      <c r="J105" s="268"/>
      <c r="K105" s="269"/>
      <c r="L105" s="269"/>
      <c r="M105" s="269">
        <v>0</v>
      </c>
      <c r="N105" s="270">
        <f>H105+I105</f>
        <v>0</v>
      </c>
      <c r="O105" s="268">
        <v>0</v>
      </c>
      <c r="P105" s="60">
        <v>0</v>
      </c>
      <c r="Q105" s="37">
        <f>R105+S105+T105+U105</f>
        <v>0</v>
      </c>
      <c r="R105" s="37">
        <v>0</v>
      </c>
      <c r="S105" s="37"/>
      <c r="T105" s="37"/>
      <c r="U105" s="37"/>
      <c r="V105" s="37"/>
      <c r="W105" s="37">
        <f>P105+Q105</f>
        <v>0</v>
      </c>
      <c r="X105" s="320"/>
      <c r="Y105" s="320"/>
      <c r="Z105" s="353"/>
      <c r="AA105" s="37">
        <v>0</v>
      </c>
      <c r="AB105" s="37">
        <f>U105+V105</f>
        <v>0</v>
      </c>
    </row>
    <row r="106" spans="1:28" hidden="1" x14ac:dyDescent="0.2">
      <c r="A106" s="89" t="s">
        <v>57</v>
      </c>
      <c r="B106" s="90" t="s">
        <v>131</v>
      </c>
      <c r="C106" s="49" t="s">
        <v>130</v>
      </c>
      <c r="D106" s="49" t="s">
        <v>135</v>
      </c>
      <c r="E106" s="49" t="s">
        <v>46</v>
      </c>
      <c r="F106" s="49" t="s">
        <v>58</v>
      </c>
      <c r="G106" s="49"/>
      <c r="H106" s="264">
        <f t="shared" ref="H106:W106" si="70">SUM(H107:H107)</f>
        <v>0</v>
      </c>
      <c r="I106" s="264">
        <f t="shared" si="70"/>
        <v>-5921.84</v>
      </c>
      <c r="J106" s="264">
        <f t="shared" si="70"/>
        <v>-5921.84</v>
      </c>
      <c r="K106" s="265">
        <f t="shared" si="70"/>
        <v>0</v>
      </c>
      <c r="L106" s="265">
        <f t="shared" si="70"/>
        <v>0</v>
      </c>
      <c r="M106" s="265">
        <f t="shared" si="70"/>
        <v>0</v>
      </c>
      <c r="N106" s="267">
        <f t="shared" si="70"/>
        <v>-5921.84</v>
      </c>
      <c r="O106" s="264">
        <f t="shared" si="70"/>
        <v>0</v>
      </c>
      <c r="P106" s="286">
        <f t="shared" si="70"/>
        <v>300000</v>
      </c>
      <c r="Q106" s="286">
        <f t="shared" si="70"/>
        <v>220098.32</v>
      </c>
      <c r="R106" s="286">
        <f t="shared" si="70"/>
        <v>0</v>
      </c>
      <c r="S106" s="286">
        <f>S107</f>
        <v>220098.32</v>
      </c>
      <c r="T106" s="286">
        <f t="shared" si="70"/>
        <v>0</v>
      </c>
      <c r="U106" s="286">
        <f t="shared" si="70"/>
        <v>0</v>
      </c>
      <c r="V106" s="286"/>
      <c r="W106" s="286">
        <f t="shared" si="70"/>
        <v>0</v>
      </c>
      <c r="X106" s="320"/>
      <c r="Y106" s="320"/>
      <c r="Z106" s="353"/>
      <c r="AA106" s="286">
        <f>SUM(AA107:AA107)</f>
        <v>0</v>
      </c>
      <c r="AB106" s="286">
        <f t="shared" ref="AB106" si="71">SUM(AB107:AB107)</f>
        <v>0</v>
      </c>
    </row>
    <row r="107" spans="1:28" hidden="1" x14ac:dyDescent="0.2">
      <c r="A107" s="12" t="s">
        <v>57</v>
      </c>
      <c r="B107" s="113"/>
      <c r="C107" s="14"/>
      <c r="D107" s="14"/>
      <c r="E107" s="15"/>
      <c r="F107" s="14"/>
      <c r="G107" s="14" t="s">
        <v>64</v>
      </c>
      <c r="H107" s="268">
        <v>0</v>
      </c>
      <c r="I107" s="268">
        <f>SUM(J107:M107)</f>
        <v>-5921.84</v>
      </c>
      <c r="J107" s="268">
        <v>-5921.84</v>
      </c>
      <c r="K107" s="269">
        <v>0</v>
      </c>
      <c r="L107" s="269">
        <v>0</v>
      </c>
      <c r="M107" s="269">
        <v>0</v>
      </c>
      <c r="N107" s="270">
        <f>H107+I107</f>
        <v>-5921.84</v>
      </c>
      <c r="O107" s="268">
        <v>0</v>
      </c>
      <c r="P107" s="60">
        <v>300000</v>
      </c>
      <c r="Q107" s="37">
        <f>R107+S107+T107+U107+V107</f>
        <v>220098.32</v>
      </c>
      <c r="R107" s="37">
        <v>0</v>
      </c>
      <c r="S107" s="37">
        <v>220098.32</v>
      </c>
      <c r="T107" s="37"/>
      <c r="U107" s="37">
        <v>0</v>
      </c>
      <c r="V107" s="37"/>
      <c r="W107" s="37">
        <v>0</v>
      </c>
      <c r="X107" s="320"/>
      <c r="Y107" s="320"/>
      <c r="Z107" s="353"/>
      <c r="AA107" s="37">
        <v>0</v>
      </c>
      <c r="AB107" s="37">
        <v>0</v>
      </c>
    </row>
    <row r="108" spans="1:28" ht="25.5" hidden="1" x14ac:dyDescent="0.2">
      <c r="A108" s="12" t="s">
        <v>76</v>
      </c>
      <c r="B108" s="94">
        <v>804</v>
      </c>
      <c r="C108" s="49" t="s">
        <v>130</v>
      </c>
      <c r="D108" s="49" t="s">
        <v>135</v>
      </c>
      <c r="E108" s="49" t="s">
        <v>19</v>
      </c>
      <c r="F108" s="31" t="s">
        <v>77</v>
      </c>
      <c r="G108" s="14"/>
      <c r="H108" s="229">
        <f t="shared" ref="H108:N108" si="72">SUM(H109:H111)</f>
        <v>0</v>
      </c>
      <c r="I108" s="229">
        <f t="shared" si="72"/>
        <v>0</v>
      </c>
      <c r="J108" s="229">
        <f t="shared" si="72"/>
        <v>0</v>
      </c>
      <c r="K108" s="271">
        <f t="shared" si="72"/>
        <v>0</v>
      </c>
      <c r="L108" s="271">
        <f t="shared" si="72"/>
        <v>0</v>
      </c>
      <c r="M108" s="271">
        <f t="shared" si="72"/>
        <v>0</v>
      </c>
      <c r="N108" s="271">
        <f t="shared" si="72"/>
        <v>0</v>
      </c>
      <c r="O108" s="229">
        <f>SUM(O109:O111)</f>
        <v>0</v>
      </c>
      <c r="P108" s="282">
        <f>SUM(P109:P111)</f>
        <v>0</v>
      </c>
      <c r="Q108" s="37">
        <f t="shared" ref="Q108:Q120" si="73">R108+S108+T108+U108+V108</f>
        <v>0</v>
      </c>
      <c r="R108" s="282">
        <f>SUM(R109:R111)</f>
        <v>0</v>
      </c>
      <c r="S108" s="282">
        <f>SUM(S109:S111)</f>
        <v>0</v>
      </c>
      <c r="T108" s="282">
        <f>SUM(T109:T111)</f>
        <v>0</v>
      </c>
      <c r="U108" s="282">
        <f>SUM(U109:U111)</f>
        <v>0</v>
      </c>
      <c r="V108" s="282"/>
      <c r="W108" s="37">
        <f t="shared" ref="W108:W118" si="74">P108+Q108</f>
        <v>0</v>
      </c>
      <c r="X108" s="320"/>
      <c r="Y108" s="320"/>
      <c r="Z108" s="353"/>
      <c r="AA108" s="282">
        <f>SUM(AA109:AA111)</f>
        <v>0</v>
      </c>
      <c r="AB108" s="37">
        <f t="shared" ref="AB108:AB118" si="75">U108+V108</f>
        <v>0</v>
      </c>
    </row>
    <row r="109" spans="1:28" ht="25.5" hidden="1" x14ac:dyDescent="0.2">
      <c r="A109" s="95" t="s">
        <v>133</v>
      </c>
      <c r="B109" s="47"/>
      <c r="C109" s="14"/>
      <c r="D109" s="36"/>
      <c r="E109" s="15" t="s">
        <v>46</v>
      </c>
      <c r="F109" s="14"/>
      <c r="G109" s="14" t="s">
        <v>79</v>
      </c>
      <c r="H109" s="272">
        <v>0</v>
      </c>
      <c r="I109" s="268">
        <f>SUM(J109:M109)</f>
        <v>0</v>
      </c>
      <c r="J109" s="272"/>
      <c r="K109" s="273"/>
      <c r="L109" s="273"/>
      <c r="M109" s="273">
        <v>0</v>
      </c>
      <c r="N109" s="270">
        <f>H109+I109</f>
        <v>0</v>
      </c>
      <c r="O109" s="272">
        <v>0</v>
      </c>
      <c r="P109" s="283">
        <v>0</v>
      </c>
      <c r="Q109" s="37">
        <f t="shared" si="73"/>
        <v>0</v>
      </c>
      <c r="R109" s="81"/>
      <c r="S109" s="81"/>
      <c r="T109" s="81"/>
      <c r="U109" s="81"/>
      <c r="V109" s="81"/>
      <c r="W109" s="37">
        <f t="shared" si="74"/>
        <v>0</v>
      </c>
      <c r="X109" s="320"/>
      <c r="Y109" s="320"/>
      <c r="Z109" s="353"/>
      <c r="AA109" s="81"/>
      <c r="AB109" s="37">
        <f t="shared" si="75"/>
        <v>0</v>
      </c>
    </row>
    <row r="110" spans="1:28" ht="25.5" hidden="1" x14ac:dyDescent="0.2">
      <c r="A110" s="46" t="s">
        <v>128</v>
      </c>
      <c r="B110" s="47"/>
      <c r="C110" s="14"/>
      <c r="D110" s="14"/>
      <c r="E110" s="15" t="s">
        <v>44</v>
      </c>
      <c r="F110" s="14"/>
      <c r="G110" s="14" t="s">
        <v>81</v>
      </c>
      <c r="H110" s="272">
        <v>0</v>
      </c>
      <c r="I110" s="268">
        <f>SUM(J110:M110)</f>
        <v>0</v>
      </c>
      <c r="J110" s="272">
        <v>0</v>
      </c>
      <c r="K110" s="273">
        <v>0</v>
      </c>
      <c r="L110" s="273">
        <v>0</v>
      </c>
      <c r="M110" s="273">
        <v>0</v>
      </c>
      <c r="N110" s="270">
        <f>H110+I110</f>
        <v>0</v>
      </c>
      <c r="O110" s="272">
        <v>0</v>
      </c>
      <c r="P110" s="283">
        <v>0</v>
      </c>
      <c r="Q110" s="37">
        <f t="shared" si="73"/>
        <v>0</v>
      </c>
      <c r="R110" s="81">
        <v>0</v>
      </c>
      <c r="S110" s="81"/>
      <c r="T110" s="81"/>
      <c r="U110" s="81"/>
      <c r="V110" s="81"/>
      <c r="W110" s="37">
        <f t="shared" si="74"/>
        <v>0</v>
      </c>
      <c r="X110" s="320"/>
      <c r="Y110" s="320"/>
      <c r="Z110" s="353"/>
      <c r="AA110" s="81">
        <v>0</v>
      </c>
      <c r="AB110" s="37">
        <f t="shared" si="75"/>
        <v>0</v>
      </c>
    </row>
    <row r="111" spans="1:28" ht="25.5" hidden="1" x14ac:dyDescent="0.2">
      <c r="A111" s="46" t="s">
        <v>128</v>
      </c>
      <c r="B111" s="47"/>
      <c r="C111" s="14"/>
      <c r="D111" s="36"/>
      <c r="E111" s="15" t="s">
        <v>46</v>
      </c>
      <c r="F111" s="14"/>
      <c r="G111" s="14" t="s">
        <v>81</v>
      </c>
      <c r="H111" s="272">
        <v>0</v>
      </c>
      <c r="I111" s="268">
        <f>SUM(J111:M111)</f>
        <v>0</v>
      </c>
      <c r="J111" s="272">
        <v>0</v>
      </c>
      <c r="K111" s="273">
        <v>0</v>
      </c>
      <c r="L111" s="273">
        <v>0</v>
      </c>
      <c r="M111" s="273">
        <v>0</v>
      </c>
      <c r="N111" s="270">
        <f>H111+I111</f>
        <v>0</v>
      </c>
      <c r="O111" s="272">
        <v>0</v>
      </c>
      <c r="P111" s="283">
        <v>0</v>
      </c>
      <c r="Q111" s="37">
        <f t="shared" si="73"/>
        <v>0</v>
      </c>
      <c r="R111" s="81">
        <v>0</v>
      </c>
      <c r="S111" s="81"/>
      <c r="T111" s="81"/>
      <c r="U111" s="81"/>
      <c r="V111" s="81"/>
      <c r="W111" s="37">
        <f t="shared" si="74"/>
        <v>0</v>
      </c>
      <c r="X111" s="320"/>
      <c r="Y111" s="320"/>
      <c r="Z111" s="353"/>
      <c r="AA111" s="81">
        <v>0</v>
      </c>
      <c r="AB111" s="37">
        <f t="shared" si="75"/>
        <v>0</v>
      </c>
    </row>
    <row r="112" spans="1:28" ht="25.5" hidden="1" x14ac:dyDescent="0.2">
      <c r="A112" s="96" t="s">
        <v>129</v>
      </c>
      <c r="B112" s="97">
        <v>804</v>
      </c>
      <c r="C112" s="98" t="s">
        <v>130</v>
      </c>
      <c r="D112" s="98" t="s">
        <v>135</v>
      </c>
      <c r="E112" s="99" t="s">
        <v>19</v>
      </c>
      <c r="F112" s="98" t="s">
        <v>19</v>
      </c>
      <c r="G112" s="98"/>
      <c r="H112" s="100">
        <f>H121+H142+H147+H149+H152</f>
        <v>2460890.0499999998</v>
      </c>
      <c r="I112" s="101"/>
      <c r="J112" s="100"/>
      <c r="K112" s="102"/>
      <c r="L112" s="102"/>
      <c r="M112" s="102"/>
      <c r="N112" s="103"/>
      <c r="O112" s="100">
        <f>O121+O142+O147+O149+O152</f>
        <v>2064052.5100000002</v>
      </c>
      <c r="P112" s="287">
        <f>P113+P114+P115+P116+P117+P118</f>
        <v>0</v>
      </c>
      <c r="Q112" s="37">
        <f t="shared" si="73"/>
        <v>0</v>
      </c>
      <c r="R112" s="81"/>
      <c r="S112" s="81"/>
      <c r="T112" s="81"/>
      <c r="U112" s="81"/>
      <c r="V112" s="81"/>
      <c r="W112" s="37">
        <f t="shared" si="74"/>
        <v>0</v>
      </c>
      <c r="X112" s="320"/>
      <c r="Y112" s="320"/>
      <c r="Z112" s="353"/>
      <c r="AA112" s="81"/>
      <c r="AB112" s="37">
        <f t="shared" si="75"/>
        <v>0</v>
      </c>
    </row>
    <row r="113" spans="1:28" hidden="1" x14ac:dyDescent="0.2">
      <c r="A113" s="12" t="s">
        <v>26</v>
      </c>
      <c r="B113" s="113">
        <v>804</v>
      </c>
      <c r="C113" s="14" t="s">
        <v>130</v>
      </c>
      <c r="D113" s="36" t="s">
        <v>22</v>
      </c>
      <c r="E113" s="15" t="s">
        <v>23</v>
      </c>
      <c r="F113" s="14" t="s">
        <v>27</v>
      </c>
      <c r="G113" s="14"/>
      <c r="H113" s="37">
        <f>1088528.83+179607.17</f>
        <v>1268136</v>
      </c>
      <c r="I113" s="37">
        <f>SUM(J113:M113)</f>
        <v>0</v>
      </c>
      <c r="J113" s="37"/>
      <c r="K113" s="38"/>
      <c r="L113" s="38"/>
      <c r="M113" s="38"/>
      <c r="N113" s="39">
        <f>H113+I113</f>
        <v>1268136</v>
      </c>
      <c r="O113" s="37">
        <f>1088528.83+179607.17</f>
        <v>1268136</v>
      </c>
      <c r="P113" s="60">
        <v>0</v>
      </c>
      <c r="Q113" s="37">
        <f t="shared" si="73"/>
        <v>0</v>
      </c>
      <c r="R113" s="81"/>
      <c r="S113" s="81"/>
      <c r="T113" s="81"/>
      <c r="U113" s="81"/>
      <c r="V113" s="81"/>
      <c r="W113" s="37">
        <f t="shared" si="74"/>
        <v>0</v>
      </c>
      <c r="X113" s="320"/>
      <c r="Y113" s="320"/>
      <c r="Z113" s="353"/>
      <c r="AA113" s="81"/>
      <c r="AB113" s="37">
        <f t="shared" si="75"/>
        <v>0</v>
      </c>
    </row>
    <row r="114" spans="1:28" hidden="1" x14ac:dyDescent="0.2">
      <c r="A114" s="12" t="s">
        <v>86</v>
      </c>
      <c r="B114" s="202"/>
      <c r="C114" s="187"/>
      <c r="D114" s="187"/>
      <c r="E114" s="203" t="s">
        <v>44</v>
      </c>
      <c r="F114" s="187" t="s">
        <v>45</v>
      </c>
      <c r="G114" s="187"/>
      <c r="H114" s="259"/>
      <c r="I114" s="181"/>
      <c r="J114" s="259"/>
      <c r="K114" s="260"/>
      <c r="L114" s="260"/>
      <c r="M114" s="260"/>
      <c r="N114" s="261"/>
      <c r="O114" s="259"/>
      <c r="P114" s="288">
        <v>0</v>
      </c>
      <c r="Q114" s="37">
        <f t="shared" si="73"/>
        <v>0</v>
      </c>
      <c r="R114" s="81"/>
      <c r="S114" s="81"/>
      <c r="T114" s="81"/>
      <c r="U114" s="81"/>
      <c r="V114" s="81"/>
      <c r="W114" s="37">
        <f t="shared" si="74"/>
        <v>0</v>
      </c>
      <c r="X114" s="320"/>
      <c r="Y114" s="320"/>
      <c r="Z114" s="353"/>
      <c r="AA114" s="81"/>
      <c r="AB114" s="37">
        <f t="shared" si="75"/>
        <v>0</v>
      </c>
    </row>
    <row r="115" spans="1:28" hidden="1" x14ac:dyDescent="0.2">
      <c r="A115" s="12" t="s">
        <v>47</v>
      </c>
      <c r="B115" s="202"/>
      <c r="C115" s="187"/>
      <c r="D115" s="187"/>
      <c r="E115" s="203" t="s">
        <v>46</v>
      </c>
      <c r="F115" s="187" t="s">
        <v>48</v>
      </c>
      <c r="G115" s="187" t="s">
        <v>49</v>
      </c>
      <c r="H115" s="259"/>
      <c r="I115" s="181"/>
      <c r="J115" s="259"/>
      <c r="K115" s="260"/>
      <c r="L115" s="260"/>
      <c r="M115" s="260"/>
      <c r="N115" s="261"/>
      <c r="O115" s="259"/>
      <c r="P115" s="288">
        <v>0</v>
      </c>
      <c r="Q115" s="37">
        <f t="shared" si="73"/>
        <v>0</v>
      </c>
      <c r="R115" s="81"/>
      <c r="S115" s="81"/>
      <c r="T115" s="81"/>
      <c r="U115" s="81"/>
      <c r="V115" s="81"/>
      <c r="W115" s="37">
        <f t="shared" si="74"/>
        <v>0</v>
      </c>
      <c r="X115" s="320"/>
      <c r="Y115" s="320"/>
      <c r="Z115" s="353"/>
      <c r="AA115" s="81"/>
      <c r="AB115" s="37">
        <f t="shared" si="75"/>
        <v>0</v>
      </c>
    </row>
    <row r="116" spans="1:28" hidden="1" x14ac:dyDescent="0.2">
      <c r="A116" s="262" t="s">
        <v>57</v>
      </c>
      <c r="B116" s="202"/>
      <c r="C116" s="187"/>
      <c r="D116" s="187"/>
      <c r="E116" s="203" t="s">
        <v>46</v>
      </c>
      <c r="F116" s="187" t="s">
        <v>58</v>
      </c>
      <c r="G116" s="187" t="s">
        <v>64</v>
      </c>
      <c r="H116" s="259"/>
      <c r="I116" s="181"/>
      <c r="J116" s="259"/>
      <c r="K116" s="260"/>
      <c r="L116" s="260"/>
      <c r="M116" s="260"/>
      <c r="N116" s="261"/>
      <c r="O116" s="259"/>
      <c r="P116" s="288">
        <v>0</v>
      </c>
      <c r="Q116" s="37">
        <f t="shared" si="73"/>
        <v>0</v>
      </c>
      <c r="R116" s="81"/>
      <c r="S116" s="81"/>
      <c r="T116" s="81"/>
      <c r="U116" s="81"/>
      <c r="V116" s="81"/>
      <c r="W116" s="37">
        <f t="shared" si="74"/>
        <v>0</v>
      </c>
      <c r="X116" s="320"/>
      <c r="Y116" s="320"/>
      <c r="Z116" s="353"/>
      <c r="AA116" s="81"/>
      <c r="AB116" s="37">
        <f t="shared" si="75"/>
        <v>0</v>
      </c>
    </row>
    <row r="117" spans="1:28" ht="25.5" hidden="1" x14ac:dyDescent="0.2">
      <c r="A117" s="95" t="s">
        <v>76</v>
      </c>
      <c r="B117" s="263"/>
      <c r="C117" s="187"/>
      <c r="D117" s="187"/>
      <c r="E117" s="203" t="s">
        <v>44</v>
      </c>
      <c r="F117" s="187" t="s">
        <v>77</v>
      </c>
      <c r="G117" s="187" t="s">
        <v>81</v>
      </c>
      <c r="H117" s="259"/>
      <c r="I117" s="181"/>
      <c r="J117" s="259"/>
      <c r="K117" s="260"/>
      <c r="L117" s="260"/>
      <c r="M117" s="260"/>
      <c r="N117" s="261"/>
      <c r="O117" s="259"/>
      <c r="P117" s="288">
        <v>0</v>
      </c>
      <c r="Q117" s="37">
        <f t="shared" si="73"/>
        <v>0</v>
      </c>
      <c r="R117" s="81"/>
      <c r="S117" s="81"/>
      <c r="T117" s="81"/>
      <c r="U117" s="81"/>
      <c r="V117" s="81"/>
      <c r="W117" s="37">
        <f t="shared" si="74"/>
        <v>0</v>
      </c>
      <c r="X117" s="320"/>
      <c r="Y117" s="320"/>
      <c r="Z117" s="353"/>
      <c r="AA117" s="81"/>
      <c r="AB117" s="37">
        <f t="shared" si="75"/>
        <v>0</v>
      </c>
    </row>
    <row r="118" spans="1:28" ht="25.5" hidden="1" x14ac:dyDescent="0.2">
      <c r="A118" s="95" t="s">
        <v>76</v>
      </c>
      <c r="B118" s="263"/>
      <c r="C118" s="187"/>
      <c r="D118" s="187"/>
      <c r="E118" s="203" t="s">
        <v>46</v>
      </c>
      <c r="F118" s="187" t="s">
        <v>77</v>
      </c>
      <c r="G118" s="187" t="s">
        <v>81</v>
      </c>
      <c r="H118" s="259"/>
      <c r="I118" s="181"/>
      <c r="J118" s="259"/>
      <c r="K118" s="260"/>
      <c r="L118" s="260"/>
      <c r="M118" s="260"/>
      <c r="N118" s="261"/>
      <c r="O118" s="259"/>
      <c r="P118" s="288">
        <v>0</v>
      </c>
      <c r="Q118" s="37">
        <f t="shared" si="73"/>
        <v>0</v>
      </c>
      <c r="R118" s="81"/>
      <c r="S118" s="81"/>
      <c r="T118" s="81"/>
      <c r="U118" s="81"/>
      <c r="V118" s="81"/>
      <c r="W118" s="37">
        <f t="shared" si="74"/>
        <v>0</v>
      </c>
      <c r="X118" s="320"/>
      <c r="Y118" s="320"/>
      <c r="Z118" s="353"/>
      <c r="AA118" s="81"/>
      <c r="AB118" s="37">
        <f t="shared" si="75"/>
        <v>0</v>
      </c>
    </row>
    <row r="119" spans="1:28" hidden="1" x14ac:dyDescent="0.2">
      <c r="A119" s="75" t="s">
        <v>65</v>
      </c>
      <c r="B119" s="263"/>
      <c r="C119" s="187"/>
      <c r="D119" s="187"/>
      <c r="E119" s="203" t="s">
        <v>46</v>
      </c>
      <c r="F119" s="187" t="s">
        <v>496</v>
      </c>
      <c r="G119" s="187" t="s">
        <v>69</v>
      </c>
      <c r="H119" s="259"/>
      <c r="I119" s="181"/>
      <c r="J119" s="259"/>
      <c r="K119" s="260"/>
      <c r="L119" s="260"/>
      <c r="M119" s="260"/>
      <c r="N119" s="261"/>
      <c r="O119" s="259"/>
      <c r="P119" s="288">
        <v>0</v>
      </c>
      <c r="Q119" s="37">
        <f t="shared" si="73"/>
        <v>1904</v>
      </c>
      <c r="R119" s="81"/>
      <c r="S119" s="81">
        <v>1904</v>
      </c>
      <c r="T119" s="81"/>
      <c r="U119" s="81"/>
      <c r="V119" s="81"/>
      <c r="W119" s="37">
        <v>0</v>
      </c>
      <c r="X119" s="320"/>
      <c r="Y119" s="320"/>
      <c r="Z119" s="353"/>
      <c r="AA119" s="81"/>
      <c r="AB119" s="37">
        <v>0</v>
      </c>
    </row>
    <row r="120" spans="1:28" hidden="1" x14ac:dyDescent="0.2">
      <c r="A120" s="95" t="s">
        <v>47</v>
      </c>
      <c r="B120" s="263"/>
      <c r="C120" s="187"/>
      <c r="D120" s="187"/>
      <c r="E120" s="203" t="s">
        <v>46</v>
      </c>
      <c r="F120" s="187" t="s">
        <v>48</v>
      </c>
      <c r="G120" s="187" t="s">
        <v>49</v>
      </c>
      <c r="H120" s="259"/>
      <c r="I120" s="181"/>
      <c r="J120" s="259"/>
      <c r="K120" s="260"/>
      <c r="L120" s="260"/>
      <c r="M120" s="260"/>
      <c r="N120" s="261"/>
      <c r="O120" s="259"/>
      <c r="P120" s="288">
        <v>0</v>
      </c>
      <c r="Q120" s="37">
        <f t="shared" si="73"/>
        <v>4000</v>
      </c>
      <c r="R120" s="81"/>
      <c r="S120" s="81">
        <v>4000</v>
      </c>
      <c r="T120" s="81"/>
      <c r="U120" s="81"/>
      <c r="V120" s="81"/>
      <c r="W120" s="37">
        <v>0</v>
      </c>
      <c r="X120" s="320"/>
      <c r="Y120" s="320"/>
      <c r="Z120" s="353"/>
      <c r="AA120" s="81"/>
      <c r="AB120" s="37">
        <v>0</v>
      </c>
    </row>
    <row r="121" spans="1:28" s="58" customFormat="1" x14ac:dyDescent="0.2">
      <c r="A121" s="96" t="s">
        <v>136</v>
      </c>
      <c r="B121" s="97"/>
      <c r="C121" s="98"/>
      <c r="D121" s="98"/>
      <c r="E121" s="99"/>
      <c r="F121" s="98"/>
      <c r="G121" s="98"/>
      <c r="H121" s="100">
        <f>H122+H144+H148+H150+H155</f>
        <v>2340890.0499999998</v>
      </c>
      <c r="I121" s="101"/>
      <c r="J121" s="100"/>
      <c r="K121" s="102"/>
      <c r="L121" s="102"/>
      <c r="M121" s="102"/>
      <c r="N121" s="103"/>
      <c r="O121" s="100">
        <f>O122+O144+O148+O150+O155</f>
        <v>1964052.5100000002</v>
      </c>
      <c r="P121" s="287">
        <f>P122+P144+P148+P150+P155+P185</f>
        <v>16574853.68</v>
      </c>
      <c r="Q121" s="287">
        <f t="shared" ref="Q121:V121" si="76">Q122+Q144+Q148+Q150+Q155+Q185</f>
        <v>-48188.2</v>
      </c>
      <c r="R121" s="287">
        <f>R122+R144+R148+R150+R155+R185</f>
        <v>-48188.2</v>
      </c>
      <c r="S121" s="287">
        <f t="shared" si="76"/>
        <v>0</v>
      </c>
      <c r="T121" s="287">
        <f t="shared" si="76"/>
        <v>0</v>
      </c>
      <c r="U121" s="287">
        <f t="shared" si="76"/>
        <v>0</v>
      </c>
      <c r="V121" s="287">
        <f t="shared" si="76"/>
        <v>0</v>
      </c>
      <c r="W121" s="287">
        <f>W122+W144+W148+W150+W155+W185</f>
        <v>4187221.29</v>
      </c>
      <c r="X121" s="321">
        <f>W121-11845360.2</f>
        <v>-7658138.9099999992</v>
      </c>
      <c r="Y121" s="321">
        <f>W121-16526665.48</f>
        <v>-12339444.190000001</v>
      </c>
      <c r="Z121" s="356"/>
      <c r="AA121" s="287">
        <f>AA122+AA144+AA148+AA150+AA155+AA185</f>
        <v>4209642.25</v>
      </c>
      <c r="AB121" s="287">
        <f>AB122+AB144+AB148+AB150+AB155+AB185</f>
        <v>4187221.29</v>
      </c>
    </row>
    <row r="122" spans="1:28" x14ac:dyDescent="0.2">
      <c r="A122" s="29" t="s">
        <v>41</v>
      </c>
      <c r="B122" s="94">
        <v>804</v>
      </c>
      <c r="C122" s="31" t="s">
        <v>137</v>
      </c>
      <c r="D122" s="104" t="s">
        <v>18</v>
      </c>
      <c r="E122" s="32" t="s">
        <v>19</v>
      </c>
      <c r="F122" s="31" t="s">
        <v>42</v>
      </c>
      <c r="G122" s="14"/>
      <c r="H122" s="105">
        <f>H130+H138+H125</f>
        <v>1834187.7</v>
      </c>
      <c r="I122" s="105" t="e">
        <f>#REF!+I130+I138+I125</f>
        <v>#REF!</v>
      </c>
      <c r="J122" s="105" t="e">
        <f>#REF!+J130+J138+J125</f>
        <v>#REF!</v>
      </c>
      <c r="K122" s="106" t="e">
        <f>#REF!+K130+K138+K125</f>
        <v>#REF!</v>
      </c>
      <c r="L122" s="106" t="e">
        <f>#REF!+L130+L138+L125</f>
        <v>#REF!</v>
      </c>
      <c r="M122" s="106" t="e">
        <f>#REF!+M130+M138+M125</f>
        <v>#REF!</v>
      </c>
      <c r="N122" s="107" t="e">
        <f>#REF!+N130+N138+N125</f>
        <v>#REF!</v>
      </c>
      <c r="O122" s="105">
        <f>O130+O138+O125</f>
        <v>1527350.1600000001</v>
      </c>
      <c r="P122" s="289">
        <f t="shared" ref="P122:S122" si="77">P123+P125+P130+P138</f>
        <v>3830586.78</v>
      </c>
      <c r="Q122" s="289">
        <f t="shared" si="77"/>
        <v>-48188.2</v>
      </c>
      <c r="R122" s="289">
        <f t="shared" si="77"/>
        <v>-48188.2</v>
      </c>
      <c r="S122" s="289">
        <f t="shared" si="77"/>
        <v>0</v>
      </c>
      <c r="T122" s="289">
        <f>T123+T125+T130+T138</f>
        <v>0</v>
      </c>
      <c r="U122" s="289">
        <f>U123+U125+U130+U138</f>
        <v>0</v>
      </c>
      <c r="V122" s="289">
        <f>V123+V125+V130+V138</f>
        <v>0</v>
      </c>
      <c r="W122" s="289">
        <f>W123+W125+W130+W138</f>
        <v>3759687.29</v>
      </c>
      <c r="X122" s="320"/>
      <c r="Y122" s="320"/>
      <c r="Z122" s="353"/>
      <c r="AA122" s="289">
        <f>AA123+AA125+AA130+AA138</f>
        <v>655400</v>
      </c>
      <c r="AB122" s="289">
        <f>AB123+AB125+AB130+AB138</f>
        <v>3759687.29</v>
      </c>
    </row>
    <row r="123" spans="1:28" s="58" customFormat="1" x14ac:dyDescent="0.2">
      <c r="A123" s="54" t="s">
        <v>47</v>
      </c>
      <c r="B123" s="48">
        <v>804</v>
      </c>
      <c r="C123" s="49" t="s">
        <v>137</v>
      </c>
      <c r="D123" s="49" t="s">
        <v>138</v>
      </c>
      <c r="E123" s="50" t="s">
        <v>46</v>
      </c>
      <c r="F123" s="49" t="s">
        <v>48</v>
      </c>
      <c r="G123" s="49"/>
      <c r="H123" s="51">
        <f t="shared" ref="H123:N123" si="78">H124+H125</f>
        <v>300000</v>
      </c>
      <c r="I123" s="51">
        <f t="shared" si="78"/>
        <v>0</v>
      </c>
      <c r="J123" s="51">
        <f t="shared" si="78"/>
        <v>0</v>
      </c>
      <c r="K123" s="52">
        <f t="shared" si="78"/>
        <v>0</v>
      </c>
      <c r="L123" s="52">
        <f t="shared" si="78"/>
        <v>0</v>
      </c>
      <c r="M123" s="52">
        <f t="shared" si="78"/>
        <v>0</v>
      </c>
      <c r="N123" s="53">
        <f t="shared" si="78"/>
        <v>300000</v>
      </c>
      <c r="O123" s="51">
        <f>O124+O125</f>
        <v>300000</v>
      </c>
      <c r="P123" s="282">
        <f>P124</f>
        <v>1732308.38</v>
      </c>
      <c r="Q123" s="282">
        <f t="shared" ref="Q123:V123" si="79">Q124</f>
        <v>0</v>
      </c>
      <c r="R123" s="282">
        <f t="shared" si="79"/>
        <v>0</v>
      </c>
      <c r="S123" s="282">
        <f t="shared" si="79"/>
        <v>0</v>
      </c>
      <c r="T123" s="282">
        <f t="shared" si="79"/>
        <v>0</v>
      </c>
      <c r="U123" s="282">
        <f t="shared" si="79"/>
        <v>0</v>
      </c>
      <c r="V123" s="282">
        <f t="shared" si="79"/>
        <v>0</v>
      </c>
      <c r="W123" s="282">
        <f>W124</f>
        <v>1732308.38</v>
      </c>
      <c r="X123" s="321"/>
      <c r="Y123" s="321"/>
      <c r="Z123" s="356"/>
      <c r="AA123" s="282">
        <f>AA124</f>
        <v>0</v>
      </c>
      <c r="AB123" s="282">
        <f t="shared" ref="AB123" si="80">AB124</f>
        <v>1732308.38</v>
      </c>
    </row>
    <row r="124" spans="1:28" x14ac:dyDescent="0.2">
      <c r="A124" s="54" t="s">
        <v>47</v>
      </c>
      <c r="B124" s="94"/>
      <c r="C124" s="31"/>
      <c r="D124" s="104"/>
      <c r="E124" s="32"/>
      <c r="F124" s="31"/>
      <c r="G124" s="14" t="s">
        <v>49</v>
      </c>
      <c r="H124" s="60"/>
      <c r="I124" s="37"/>
      <c r="J124" s="60"/>
      <c r="K124" s="60"/>
      <c r="L124" s="60"/>
      <c r="M124" s="60"/>
      <c r="N124" s="39"/>
      <c r="O124" s="60"/>
      <c r="P124" s="60">
        <v>1732308.38</v>
      </c>
      <c r="Q124" s="60">
        <f>R124+S124+T124+U124+V124</f>
        <v>0</v>
      </c>
      <c r="R124" s="60">
        <v>0</v>
      </c>
      <c r="S124" s="60"/>
      <c r="T124" s="60"/>
      <c r="U124" s="60"/>
      <c r="V124" s="60"/>
      <c r="W124" s="183">
        <v>1732308.38</v>
      </c>
      <c r="X124" s="320"/>
      <c r="Y124" s="320"/>
      <c r="Z124" s="353"/>
      <c r="AA124" s="60">
        <v>0</v>
      </c>
      <c r="AB124" s="37">
        <v>1732308.38</v>
      </c>
    </row>
    <row r="125" spans="1:28" s="58" customFormat="1" hidden="1" x14ac:dyDescent="0.2">
      <c r="A125" s="54" t="s">
        <v>47</v>
      </c>
      <c r="B125" s="48">
        <v>804</v>
      </c>
      <c r="C125" s="49" t="s">
        <v>137</v>
      </c>
      <c r="D125" s="49" t="s">
        <v>138</v>
      </c>
      <c r="E125" s="50" t="s">
        <v>46</v>
      </c>
      <c r="F125" s="49" t="s">
        <v>88</v>
      </c>
      <c r="G125" s="49"/>
      <c r="H125" s="51">
        <f t="shared" ref="H125:N125" si="81">SUM(H126:H129)</f>
        <v>300000</v>
      </c>
      <c r="I125" s="51">
        <f t="shared" si="81"/>
        <v>0</v>
      </c>
      <c r="J125" s="51">
        <f t="shared" si="81"/>
        <v>0</v>
      </c>
      <c r="K125" s="52">
        <f t="shared" si="81"/>
        <v>0</v>
      </c>
      <c r="L125" s="52">
        <f t="shared" si="81"/>
        <v>0</v>
      </c>
      <c r="M125" s="52">
        <f t="shared" si="81"/>
        <v>0</v>
      </c>
      <c r="N125" s="52">
        <f t="shared" si="81"/>
        <v>300000</v>
      </c>
      <c r="O125" s="51">
        <f>SUM(O126:O129)</f>
        <v>300000</v>
      </c>
      <c r="P125" s="282">
        <f>SUM(P126:P129)</f>
        <v>0</v>
      </c>
      <c r="Q125" s="51"/>
      <c r="R125" s="51"/>
      <c r="S125" s="51"/>
      <c r="T125" s="51"/>
      <c r="U125" s="51"/>
      <c r="V125" s="51"/>
      <c r="W125" s="183"/>
      <c r="X125" s="321"/>
      <c r="Y125" s="321"/>
      <c r="Z125" s="356"/>
      <c r="AA125" s="51"/>
      <c r="AB125" s="37"/>
    </row>
    <row r="126" spans="1:28" hidden="1" x14ac:dyDescent="0.2">
      <c r="A126" s="54" t="s">
        <v>47</v>
      </c>
      <c r="B126" s="47"/>
      <c r="C126" s="14"/>
      <c r="D126" s="14"/>
      <c r="E126" s="15"/>
      <c r="F126" s="14"/>
      <c r="G126" s="14" t="s">
        <v>90</v>
      </c>
      <c r="H126" s="37">
        <v>300000</v>
      </c>
      <c r="I126" s="37">
        <f>SUM(J126:M126)</f>
        <v>0</v>
      </c>
      <c r="J126" s="37">
        <v>0</v>
      </c>
      <c r="K126" s="38">
        <v>0</v>
      </c>
      <c r="L126" s="38">
        <v>0</v>
      </c>
      <c r="M126" s="38">
        <v>0</v>
      </c>
      <c r="N126" s="39">
        <f>H126+I126</f>
        <v>300000</v>
      </c>
      <c r="O126" s="37">
        <v>300000</v>
      </c>
      <c r="P126" s="60">
        <v>0</v>
      </c>
      <c r="Q126" s="37"/>
      <c r="R126" s="37"/>
      <c r="S126" s="37"/>
      <c r="T126" s="37"/>
      <c r="U126" s="37"/>
      <c r="V126" s="37"/>
      <c r="W126" s="183"/>
      <c r="X126" s="320"/>
      <c r="Y126" s="320"/>
      <c r="Z126" s="353"/>
      <c r="AA126" s="37"/>
      <c r="AB126" s="37"/>
    </row>
    <row r="127" spans="1:28" hidden="1" x14ac:dyDescent="0.2">
      <c r="A127" s="54" t="s">
        <v>47</v>
      </c>
      <c r="B127" s="47"/>
      <c r="C127" s="14"/>
      <c r="D127" s="14"/>
      <c r="E127" s="15"/>
      <c r="F127" s="14"/>
      <c r="G127" s="14" t="s">
        <v>139</v>
      </c>
      <c r="H127" s="37">
        <v>0</v>
      </c>
      <c r="I127" s="37">
        <f>SUM(J127:M127)</f>
        <v>0</v>
      </c>
      <c r="J127" s="37">
        <v>0</v>
      </c>
      <c r="K127" s="38">
        <v>0</v>
      </c>
      <c r="L127" s="38">
        <v>0</v>
      </c>
      <c r="M127" s="38">
        <v>0</v>
      </c>
      <c r="N127" s="39">
        <f>H127+I127</f>
        <v>0</v>
      </c>
      <c r="O127" s="37">
        <v>0</v>
      </c>
      <c r="P127" s="60">
        <v>0</v>
      </c>
      <c r="Q127" s="37"/>
      <c r="R127" s="37"/>
      <c r="S127" s="37"/>
      <c r="T127" s="37"/>
      <c r="U127" s="37"/>
      <c r="V127" s="37"/>
      <c r="W127" s="183"/>
      <c r="X127" s="320"/>
      <c r="Y127" s="320"/>
      <c r="Z127" s="353"/>
      <c r="AA127" s="37"/>
      <c r="AB127" s="37"/>
    </row>
    <row r="128" spans="1:28" hidden="1" x14ac:dyDescent="0.2">
      <c r="A128" s="54" t="s">
        <v>47</v>
      </c>
      <c r="B128" s="47"/>
      <c r="C128" s="14"/>
      <c r="D128" s="14"/>
      <c r="E128" s="15"/>
      <c r="F128" s="14"/>
      <c r="G128" s="14" t="s">
        <v>140</v>
      </c>
      <c r="H128" s="37">
        <v>0</v>
      </c>
      <c r="I128" s="37">
        <f>SUM(J128:M128)</f>
        <v>0</v>
      </c>
      <c r="J128" s="37">
        <v>0</v>
      </c>
      <c r="K128" s="38">
        <v>0</v>
      </c>
      <c r="L128" s="38">
        <v>0</v>
      </c>
      <c r="M128" s="38">
        <v>0</v>
      </c>
      <c r="N128" s="39">
        <f>H128+I128</f>
        <v>0</v>
      </c>
      <c r="O128" s="37">
        <v>0</v>
      </c>
      <c r="P128" s="60">
        <v>0</v>
      </c>
      <c r="Q128" s="37"/>
      <c r="R128" s="37"/>
      <c r="S128" s="37"/>
      <c r="T128" s="37"/>
      <c r="U128" s="37"/>
      <c r="V128" s="37"/>
      <c r="W128" s="183"/>
      <c r="X128" s="320"/>
      <c r="Y128" s="320"/>
      <c r="Z128" s="353"/>
      <c r="AA128" s="37"/>
      <c r="AB128" s="37"/>
    </row>
    <row r="129" spans="1:28" hidden="1" x14ac:dyDescent="0.2">
      <c r="A129" s="95" t="s">
        <v>47</v>
      </c>
      <c r="B129" s="47"/>
      <c r="C129" s="14"/>
      <c r="D129" s="14"/>
      <c r="E129" s="15"/>
      <c r="F129" s="14"/>
      <c r="G129" s="14" t="s">
        <v>49</v>
      </c>
      <c r="H129" s="37">
        <v>0</v>
      </c>
      <c r="I129" s="37">
        <f>SUM(J129:M129)</f>
        <v>0</v>
      </c>
      <c r="J129" s="37">
        <v>0</v>
      </c>
      <c r="K129" s="38">
        <v>0</v>
      </c>
      <c r="L129" s="38">
        <v>0</v>
      </c>
      <c r="M129" s="38">
        <v>0</v>
      </c>
      <c r="N129" s="39">
        <f>H129+I129</f>
        <v>0</v>
      </c>
      <c r="O129" s="37">
        <v>0</v>
      </c>
      <c r="P129" s="60"/>
      <c r="Q129" s="37"/>
      <c r="R129" s="37"/>
      <c r="S129" s="37"/>
      <c r="T129" s="37"/>
      <c r="U129" s="37"/>
      <c r="V129" s="37"/>
      <c r="W129" s="183"/>
      <c r="X129" s="320"/>
      <c r="Y129" s="320"/>
      <c r="Z129" s="353"/>
      <c r="AA129" s="37"/>
      <c r="AB129" s="37"/>
    </row>
    <row r="130" spans="1:28" s="109" customFormat="1" x14ac:dyDescent="0.2">
      <c r="A130" s="54" t="s">
        <v>50</v>
      </c>
      <c r="B130" s="108">
        <v>804</v>
      </c>
      <c r="C130" s="49" t="s">
        <v>137</v>
      </c>
      <c r="D130" s="49" t="s">
        <v>138</v>
      </c>
      <c r="E130" s="50" t="s">
        <v>46</v>
      </c>
      <c r="F130" s="49" t="s">
        <v>51</v>
      </c>
      <c r="G130" s="49"/>
      <c r="H130" s="51">
        <f t="shared" ref="H130:V130" si="82">SUM(H131:H137)</f>
        <v>639360.46</v>
      </c>
      <c r="I130" s="51">
        <f t="shared" si="82"/>
        <v>156000</v>
      </c>
      <c r="J130" s="51">
        <f t="shared" si="82"/>
        <v>0</v>
      </c>
      <c r="K130" s="52">
        <f t="shared" si="82"/>
        <v>0</v>
      </c>
      <c r="L130" s="52">
        <f t="shared" si="82"/>
        <v>0</v>
      </c>
      <c r="M130" s="52">
        <f t="shared" si="82"/>
        <v>156000</v>
      </c>
      <c r="N130" s="53">
        <f t="shared" si="82"/>
        <v>795360.46</v>
      </c>
      <c r="O130" s="51">
        <f t="shared" si="82"/>
        <v>511488.36800000002</v>
      </c>
      <c r="P130" s="282">
        <f t="shared" si="82"/>
        <v>887514.63</v>
      </c>
      <c r="Q130" s="282">
        <f t="shared" si="82"/>
        <v>0</v>
      </c>
      <c r="R130" s="282">
        <f t="shared" si="82"/>
        <v>0</v>
      </c>
      <c r="S130" s="282">
        <f t="shared" si="82"/>
        <v>0</v>
      </c>
      <c r="T130" s="282">
        <f t="shared" si="82"/>
        <v>0</v>
      </c>
      <c r="U130" s="282">
        <f t="shared" si="82"/>
        <v>0</v>
      </c>
      <c r="V130" s="282">
        <f t="shared" si="82"/>
        <v>0</v>
      </c>
      <c r="W130" s="397">
        <f>SUM(W131:W137)</f>
        <v>757106.88</v>
      </c>
      <c r="X130" s="319"/>
      <c r="Y130" s="319"/>
      <c r="Z130" s="358"/>
      <c r="AA130" s="282">
        <f>SUM(AA131:AA137)</f>
        <v>255400</v>
      </c>
      <c r="AB130" s="282">
        <f t="shared" ref="AB130" si="83">SUM(AB131:AB137)</f>
        <v>757106.88</v>
      </c>
    </row>
    <row r="131" spans="1:28" s="109" customFormat="1" hidden="1" x14ac:dyDescent="0.2">
      <c r="A131" s="12" t="s">
        <v>431</v>
      </c>
      <c r="B131" s="108"/>
      <c r="C131" s="49"/>
      <c r="D131" s="14"/>
      <c r="E131" s="77" t="s">
        <v>46</v>
      </c>
      <c r="F131" s="49"/>
      <c r="G131" s="36" t="s">
        <v>56</v>
      </c>
      <c r="H131" s="78">
        <v>0</v>
      </c>
      <c r="I131" s="37">
        <f t="shared" ref="I131:I137" si="84">SUM(J131:M131)</f>
        <v>0</v>
      </c>
      <c r="J131" s="78"/>
      <c r="K131" s="79"/>
      <c r="L131" s="79"/>
      <c r="M131" s="79"/>
      <c r="N131" s="39">
        <f t="shared" ref="N131:N137" si="85">H131+I131</f>
        <v>0</v>
      </c>
      <c r="O131" s="78">
        <v>0</v>
      </c>
      <c r="P131" s="74">
        <v>314000</v>
      </c>
      <c r="Q131" s="181">
        <f>R131+S131+T131+U131+V131</f>
        <v>0</v>
      </c>
      <c r="R131" s="78"/>
      <c r="S131" s="78"/>
      <c r="T131" s="78"/>
      <c r="U131" s="78"/>
      <c r="V131" s="78"/>
      <c r="W131" s="183">
        <v>0</v>
      </c>
      <c r="X131" s="319"/>
      <c r="Y131" s="319"/>
      <c r="Z131" s="358"/>
      <c r="AA131" s="78"/>
      <c r="AB131" s="183">
        <v>0</v>
      </c>
    </row>
    <row r="132" spans="1:28" s="109" customFormat="1" ht="25.5" hidden="1" x14ac:dyDescent="0.2">
      <c r="A132" s="59" t="s">
        <v>470</v>
      </c>
      <c r="B132" s="108"/>
      <c r="C132" s="49"/>
      <c r="D132" s="14"/>
      <c r="E132" s="203" t="s">
        <v>141</v>
      </c>
      <c r="F132" s="188"/>
      <c r="G132" s="187" t="s">
        <v>56</v>
      </c>
      <c r="H132" s="181">
        <v>0</v>
      </c>
      <c r="I132" s="183">
        <f t="shared" si="84"/>
        <v>0</v>
      </c>
      <c r="J132" s="181"/>
      <c r="K132" s="324"/>
      <c r="L132" s="324"/>
      <c r="M132" s="324"/>
      <c r="N132" s="325">
        <f t="shared" si="85"/>
        <v>0</v>
      </c>
      <c r="O132" s="181">
        <v>0</v>
      </c>
      <c r="P132" s="294">
        <v>0</v>
      </c>
      <c r="Q132" s="181">
        <f>R132+S132+T132+U132</f>
        <v>0</v>
      </c>
      <c r="R132" s="181"/>
      <c r="S132" s="181"/>
      <c r="T132" s="181">
        <v>0</v>
      </c>
      <c r="U132" s="181"/>
      <c r="V132" s="181"/>
      <c r="W132" s="183">
        <f>P132+Q132</f>
        <v>0</v>
      </c>
      <c r="X132" s="322"/>
      <c r="Y132" s="320"/>
      <c r="Z132" s="358"/>
      <c r="AA132" s="181"/>
      <c r="AB132" s="183">
        <f>U132+V132</f>
        <v>0</v>
      </c>
    </row>
    <row r="133" spans="1:28" ht="38.25" x14ac:dyDescent="0.2">
      <c r="A133" s="44" t="s">
        <v>142</v>
      </c>
      <c r="B133" s="45"/>
      <c r="C133" s="14"/>
      <c r="D133" s="14"/>
      <c r="E133" s="15" t="s">
        <v>46</v>
      </c>
      <c r="F133" s="14"/>
      <c r="G133" s="14" t="s">
        <v>53</v>
      </c>
      <c r="H133" s="37">
        <v>414976.42</v>
      </c>
      <c r="I133" s="37">
        <f t="shared" si="84"/>
        <v>106000</v>
      </c>
      <c r="J133" s="37">
        <v>0</v>
      </c>
      <c r="K133" s="38">
        <v>0</v>
      </c>
      <c r="L133" s="38">
        <v>0</v>
      </c>
      <c r="M133" s="38">
        <v>106000</v>
      </c>
      <c r="N133" s="39">
        <f t="shared" si="85"/>
        <v>520976.42</v>
      </c>
      <c r="O133" s="37">
        <f>414976.42*80%</f>
        <v>331981.136</v>
      </c>
      <c r="P133" s="60">
        <v>357514.63</v>
      </c>
      <c r="Q133" s="78">
        <f>R133+S133+T133+U133+V133</f>
        <v>0</v>
      </c>
      <c r="R133" s="37"/>
      <c r="S133" s="78"/>
      <c r="T133" s="78"/>
      <c r="U133" s="78">
        <v>0</v>
      </c>
      <c r="V133" s="78"/>
      <c r="W133" s="183">
        <v>541106.88</v>
      </c>
      <c r="X133" s="320"/>
      <c r="Y133" s="320"/>
      <c r="Z133" s="353"/>
      <c r="AA133" s="37">
        <v>115000</v>
      </c>
      <c r="AB133" s="37">
        <v>541106.88</v>
      </c>
    </row>
    <row r="134" spans="1:28" ht="25.5" hidden="1" x14ac:dyDescent="0.2">
      <c r="A134" s="44" t="s">
        <v>143</v>
      </c>
      <c r="B134" s="45"/>
      <c r="C134" s="14"/>
      <c r="D134" s="14"/>
      <c r="E134" s="15"/>
      <c r="F134" s="14"/>
      <c r="G134" s="14" t="s">
        <v>53</v>
      </c>
      <c r="H134" s="37">
        <v>8384.0400000000009</v>
      </c>
      <c r="I134" s="37">
        <f t="shared" si="84"/>
        <v>0</v>
      </c>
      <c r="J134" s="37"/>
      <c r="K134" s="38"/>
      <c r="L134" s="38"/>
      <c r="M134" s="38"/>
      <c r="N134" s="39">
        <f t="shared" si="85"/>
        <v>8384.0400000000009</v>
      </c>
      <c r="O134" s="37">
        <f>8384.04*80%</f>
        <v>6707.2320000000009</v>
      </c>
      <c r="P134" s="60">
        <v>0</v>
      </c>
      <c r="Q134" s="78">
        <f>R134+S134+T134+U134</f>
        <v>0</v>
      </c>
      <c r="R134" s="37"/>
      <c r="S134" s="78"/>
      <c r="T134" s="78"/>
      <c r="U134" s="78"/>
      <c r="V134" s="78"/>
      <c r="W134" s="183"/>
      <c r="X134" s="320"/>
      <c r="Y134" s="320"/>
      <c r="Z134" s="353"/>
      <c r="AA134" s="37"/>
      <c r="AB134" s="37"/>
    </row>
    <row r="135" spans="1:28" x14ac:dyDescent="0.2">
      <c r="A135" s="44" t="s">
        <v>144</v>
      </c>
      <c r="B135" s="45"/>
      <c r="C135" s="14"/>
      <c r="D135" s="14"/>
      <c r="E135" s="15" t="s">
        <v>46</v>
      </c>
      <c r="F135" s="14"/>
      <c r="G135" s="14" t="s">
        <v>101</v>
      </c>
      <c r="H135" s="37">
        <v>216000</v>
      </c>
      <c r="I135" s="37">
        <f t="shared" si="84"/>
        <v>0</v>
      </c>
      <c r="J135" s="37">
        <v>0</v>
      </c>
      <c r="K135" s="38">
        <v>0</v>
      </c>
      <c r="L135" s="38">
        <v>0</v>
      </c>
      <c r="M135" s="38">
        <v>0</v>
      </c>
      <c r="N135" s="39">
        <f t="shared" si="85"/>
        <v>216000</v>
      </c>
      <c r="O135" s="37">
        <f>216000*80%</f>
        <v>172800</v>
      </c>
      <c r="P135" s="60">
        <v>216000</v>
      </c>
      <c r="Q135" s="78">
        <f>R135+S135+T135+U135+V135</f>
        <v>0</v>
      </c>
      <c r="R135" s="37"/>
      <c r="S135" s="78"/>
      <c r="T135" s="78"/>
      <c r="U135" s="78">
        <v>0</v>
      </c>
      <c r="V135" s="78"/>
      <c r="W135" s="183">
        <v>216000</v>
      </c>
      <c r="X135" s="320"/>
      <c r="Y135" s="320"/>
      <c r="Z135" s="353"/>
      <c r="AA135" s="37">
        <v>140400</v>
      </c>
      <c r="AB135" s="37">
        <v>216000</v>
      </c>
    </row>
    <row r="136" spans="1:28" ht="25.5" hidden="1" x14ac:dyDescent="0.2">
      <c r="A136" s="44" t="s">
        <v>516</v>
      </c>
      <c r="B136" s="45"/>
      <c r="C136" s="14"/>
      <c r="D136" s="14"/>
      <c r="E136" s="15" t="s">
        <v>46</v>
      </c>
      <c r="F136" s="14"/>
      <c r="G136" s="14" t="s">
        <v>101</v>
      </c>
      <c r="H136" s="37">
        <v>0</v>
      </c>
      <c r="I136" s="37">
        <f t="shared" si="84"/>
        <v>0</v>
      </c>
      <c r="J136" s="37">
        <v>0</v>
      </c>
      <c r="K136" s="38">
        <v>0</v>
      </c>
      <c r="L136" s="38">
        <v>0</v>
      </c>
      <c r="M136" s="38">
        <v>0</v>
      </c>
      <c r="N136" s="39">
        <f t="shared" si="85"/>
        <v>0</v>
      </c>
      <c r="O136" s="37">
        <v>0</v>
      </c>
      <c r="P136" s="60">
        <v>0</v>
      </c>
      <c r="Q136" s="78">
        <f>R136+S136+T136+U136</f>
        <v>0</v>
      </c>
      <c r="R136" s="37"/>
      <c r="S136" s="78"/>
      <c r="T136" s="78">
        <v>0</v>
      </c>
      <c r="U136" s="78"/>
      <c r="V136" s="78"/>
      <c r="W136" s="183">
        <f>P136+Q136</f>
        <v>0</v>
      </c>
      <c r="X136" s="320"/>
      <c r="Y136" s="320"/>
      <c r="Z136" s="353"/>
      <c r="AA136" s="37"/>
      <c r="AB136" s="37">
        <f>U136+V136</f>
        <v>0</v>
      </c>
    </row>
    <row r="137" spans="1:28" ht="38.25" hidden="1" x14ac:dyDescent="0.2">
      <c r="A137" s="44" t="s">
        <v>145</v>
      </c>
      <c r="B137" s="45"/>
      <c r="C137" s="14"/>
      <c r="D137" s="14"/>
      <c r="E137" s="15"/>
      <c r="F137" s="14"/>
      <c r="G137" s="14" t="s">
        <v>101</v>
      </c>
      <c r="H137" s="37">
        <v>0</v>
      </c>
      <c r="I137" s="37">
        <f t="shared" si="84"/>
        <v>50000</v>
      </c>
      <c r="J137" s="37">
        <v>0</v>
      </c>
      <c r="K137" s="38">
        <v>0</v>
      </c>
      <c r="L137" s="38">
        <v>0</v>
      </c>
      <c r="M137" s="38">
        <v>50000</v>
      </c>
      <c r="N137" s="39">
        <f t="shared" si="85"/>
        <v>50000</v>
      </c>
      <c r="O137" s="37">
        <v>0</v>
      </c>
      <c r="P137" s="60">
        <v>0</v>
      </c>
      <c r="Q137" s="37"/>
      <c r="R137" s="37"/>
      <c r="S137" s="78"/>
      <c r="T137" s="78"/>
      <c r="U137" s="78"/>
      <c r="V137" s="78"/>
      <c r="W137" s="183"/>
      <c r="X137" s="320"/>
      <c r="Y137" s="320"/>
      <c r="Z137" s="353"/>
      <c r="AA137" s="37"/>
      <c r="AB137" s="37"/>
    </row>
    <row r="138" spans="1:28" s="109" customFormat="1" x14ac:dyDescent="0.2">
      <c r="A138" s="29" t="s">
        <v>57</v>
      </c>
      <c r="B138" s="111">
        <v>804</v>
      </c>
      <c r="C138" s="31" t="s">
        <v>137</v>
      </c>
      <c r="D138" s="49" t="s">
        <v>138</v>
      </c>
      <c r="E138" s="32" t="s">
        <v>46</v>
      </c>
      <c r="F138" s="31" t="s">
        <v>58</v>
      </c>
      <c r="G138" s="31"/>
      <c r="H138" s="51">
        <f t="shared" ref="H138:N138" si="86">SUM(H139:H142)</f>
        <v>894827.24</v>
      </c>
      <c r="I138" s="51">
        <f t="shared" si="86"/>
        <v>346862.05</v>
      </c>
      <c r="J138" s="51">
        <f t="shared" si="86"/>
        <v>40862.050000000003</v>
      </c>
      <c r="K138" s="51">
        <f t="shared" si="86"/>
        <v>0</v>
      </c>
      <c r="L138" s="51">
        <f t="shared" si="86"/>
        <v>0</v>
      </c>
      <c r="M138" s="51">
        <f t="shared" si="86"/>
        <v>306000</v>
      </c>
      <c r="N138" s="51">
        <f t="shared" si="86"/>
        <v>1241689.29</v>
      </c>
      <c r="O138" s="51">
        <f>SUM(O139:O142)</f>
        <v>715861.79200000002</v>
      </c>
      <c r="P138" s="282">
        <f>SUM(P139:P143)</f>
        <v>1210763.77</v>
      </c>
      <c r="Q138" s="282">
        <f t="shared" ref="Q138:V138" si="87">SUM(Q139:Q143)</f>
        <v>-48188.2</v>
      </c>
      <c r="R138" s="282">
        <f t="shared" si="87"/>
        <v>-48188.2</v>
      </c>
      <c r="S138" s="282">
        <f t="shared" si="87"/>
        <v>0</v>
      </c>
      <c r="T138" s="282">
        <f t="shared" si="87"/>
        <v>0</v>
      </c>
      <c r="U138" s="282">
        <f t="shared" si="87"/>
        <v>0</v>
      </c>
      <c r="V138" s="282">
        <f t="shared" si="87"/>
        <v>0</v>
      </c>
      <c r="W138" s="397">
        <f>SUM(W139:W143)</f>
        <v>1270272.03</v>
      </c>
      <c r="X138" s="319"/>
      <c r="Y138" s="319"/>
      <c r="Z138" s="358"/>
      <c r="AA138" s="282">
        <f>SUM(AA139:AA142)</f>
        <v>400000</v>
      </c>
      <c r="AB138" s="282">
        <f>SUM(AB139:AB143)</f>
        <v>1270272.03</v>
      </c>
    </row>
    <row r="139" spans="1:28" ht="25.5" x14ac:dyDescent="0.2">
      <c r="A139" s="112" t="s">
        <v>146</v>
      </c>
      <c r="B139" s="113"/>
      <c r="C139" s="14"/>
      <c r="D139" s="14"/>
      <c r="E139" s="15"/>
      <c r="F139" s="14"/>
      <c r="G139" s="14" t="s">
        <v>147</v>
      </c>
      <c r="H139" s="37">
        <v>840327.24</v>
      </c>
      <c r="I139" s="37">
        <f>SUM(J139:M139)</f>
        <v>295000</v>
      </c>
      <c r="J139" s="37">
        <v>5000</v>
      </c>
      <c r="K139" s="38">
        <v>0</v>
      </c>
      <c r="L139" s="38">
        <v>0</v>
      </c>
      <c r="M139" s="38">
        <v>290000</v>
      </c>
      <c r="N139" s="39">
        <f>H139+I139</f>
        <v>1135327.24</v>
      </c>
      <c r="O139" s="37">
        <f>840327.24*80%</f>
        <v>672261.79200000002</v>
      </c>
      <c r="P139" s="60">
        <v>910912.54</v>
      </c>
      <c r="Q139" s="37">
        <f>R139+S139+T139+U139+V139</f>
        <v>0</v>
      </c>
      <c r="R139" s="37"/>
      <c r="S139" s="37"/>
      <c r="T139" s="37"/>
      <c r="U139" s="37"/>
      <c r="V139" s="37"/>
      <c r="W139" s="183">
        <v>1080000</v>
      </c>
      <c r="X139" s="320"/>
      <c r="Y139" s="320"/>
      <c r="Z139" s="353"/>
      <c r="AA139" s="37">
        <v>400000</v>
      </c>
      <c r="AB139" s="37">
        <v>1080000</v>
      </c>
    </row>
    <row r="140" spans="1:28" ht="38.25" hidden="1" x14ac:dyDescent="0.2">
      <c r="A140" s="112" t="s">
        <v>389</v>
      </c>
      <c r="B140" s="113"/>
      <c r="C140" s="14"/>
      <c r="D140" s="14"/>
      <c r="E140" s="15"/>
      <c r="F140" s="14"/>
      <c r="G140" s="14" t="s">
        <v>64</v>
      </c>
      <c r="H140" s="37"/>
      <c r="I140" s="37"/>
      <c r="J140" s="37"/>
      <c r="K140" s="38"/>
      <c r="L140" s="38"/>
      <c r="M140" s="38"/>
      <c r="N140" s="39"/>
      <c r="O140" s="37"/>
      <c r="P140" s="60">
        <v>0</v>
      </c>
      <c r="Q140" s="37">
        <f>R140+S140+T140+U140</f>
        <v>0</v>
      </c>
      <c r="R140" s="37"/>
      <c r="S140" s="37"/>
      <c r="T140" s="37">
        <v>0</v>
      </c>
      <c r="U140" s="37"/>
      <c r="V140" s="37"/>
      <c r="W140" s="183">
        <f>P140+Q140</f>
        <v>0</v>
      </c>
      <c r="X140" s="320"/>
      <c r="Y140" s="320"/>
      <c r="Z140" s="353"/>
      <c r="AA140" s="37"/>
      <c r="AB140" s="37">
        <f>U140+V140</f>
        <v>0</v>
      </c>
    </row>
    <row r="141" spans="1:28" s="353" customFormat="1" x14ac:dyDescent="0.2">
      <c r="A141" s="164" t="s">
        <v>148</v>
      </c>
      <c r="B141" s="379"/>
      <c r="C141" s="331"/>
      <c r="D141" s="331"/>
      <c r="E141" s="332"/>
      <c r="F141" s="331"/>
      <c r="G141" s="331" t="s">
        <v>64</v>
      </c>
      <c r="H141" s="183">
        <v>4500</v>
      </c>
      <c r="I141" s="183">
        <f>SUM(J141:M141)</f>
        <v>31920</v>
      </c>
      <c r="J141" s="183">
        <v>15920</v>
      </c>
      <c r="K141" s="335">
        <v>0</v>
      </c>
      <c r="L141" s="335">
        <v>0</v>
      </c>
      <c r="M141" s="335">
        <v>16000</v>
      </c>
      <c r="N141" s="325">
        <f>H141+I141</f>
        <v>36420</v>
      </c>
      <c r="O141" s="183">
        <f>4500*80%</f>
        <v>3600</v>
      </c>
      <c r="P141" s="291">
        <v>299851.23</v>
      </c>
      <c r="Q141" s="183">
        <f>R141+S141+T141+U141+V141</f>
        <v>-109579.2</v>
      </c>
      <c r="R141" s="183">
        <v>-109579.2</v>
      </c>
      <c r="S141" s="183"/>
      <c r="T141" s="183"/>
      <c r="U141" s="183">
        <v>0</v>
      </c>
      <c r="V141" s="183"/>
      <c r="W141" s="183">
        <v>190272.03</v>
      </c>
      <c r="X141" s="320">
        <f>190272.03-W141</f>
        <v>0</v>
      </c>
      <c r="Y141" s="320"/>
      <c r="AA141" s="183">
        <v>0</v>
      </c>
      <c r="AB141" s="183">
        <v>190272.03</v>
      </c>
    </row>
    <row r="142" spans="1:28" hidden="1" x14ac:dyDescent="0.2">
      <c r="A142" s="44" t="s">
        <v>149</v>
      </c>
      <c r="B142" s="45"/>
      <c r="C142" s="14"/>
      <c r="D142" s="14"/>
      <c r="E142" s="15"/>
      <c r="F142" s="14"/>
      <c r="G142" s="14" t="s">
        <v>64</v>
      </c>
      <c r="H142" s="37">
        <v>50000</v>
      </c>
      <c r="I142" s="37">
        <f>SUM(J142:M142)</f>
        <v>19942.05</v>
      </c>
      <c r="J142" s="37">
        <v>19942.05</v>
      </c>
      <c r="K142" s="38">
        <v>0</v>
      </c>
      <c r="L142" s="38">
        <v>0</v>
      </c>
      <c r="M142" s="38">
        <v>0</v>
      </c>
      <c r="N142" s="39">
        <f>H142+I142</f>
        <v>69942.05</v>
      </c>
      <c r="O142" s="37">
        <f>50000*80%</f>
        <v>40000</v>
      </c>
      <c r="P142" s="60">
        <v>0</v>
      </c>
      <c r="Q142" s="183">
        <f>R142+S142+T142+U142+V142</f>
        <v>0</v>
      </c>
      <c r="R142" s="37"/>
      <c r="S142" s="37"/>
      <c r="T142" s="37"/>
      <c r="U142" s="37"/>
      <c r="V142" s="37"/>
      <c r="W142" s="183">
        <f>P142+Q142</f>
        <v>0</v>
      </c>
      <c r="X142" s="320"/>
      <c r="Y142" s="320"/>
      <c r="Z142" s="353"/>
      <c r="AA142" s="37"/>
      <c r="AB142" s="183">
        <f>U142+V142</f>
        <v>0</v>
      </c>
    </row>
    <row r="143" spans="1:28" hidden="1" x14ac:dyDescent="0.2">
      <c r="A143" s="44" t="s">
        <v>546</v>
      </c>
      <c r="B143" s="45"/>
      <c r="C143" s="14"/>
      <c r="D143" s="14"/>
      <c r="E143" s="15" t="s">
        <v>538</v>
      </c>
      <c r="F143" s="14" t="s">
        <v>58</v>
      </c>
      <c r="G143" s="14" t="s">
        <v>64</v>
      </c>
      <c r="H143" s="37"/>
      <c r="I143" s="37"/>
      <c r="J143" s="37"/>
      <c r="K143" s="38"/>
      <c r="L143" s="38"/>
      <c r="M143" s="38"/>
      <c r="N143" s="63"/>
      <c r="O143" s="37"/>
      <c r="P143" s="60"/>
      <c r="Q143" s="183">
        <f>R143+S143+T143+U143+V143</f>
        <v>61391</v>
      </c>
      <c r="R143" s="37">
        <v>61391</v>
      </c>
      <c r="S143" s="37"/>
      <c r="T143" s="37"/>
      <c r="U143" s="37"/>
      <c r="V143" s="37"/>
      <c r="W143" s="183">
        <v>0</v>
      </c>
      <c r="X143" s="320"/>
      <c r="Y143" s="320"/>
      <c r="Z143" s="353"/>
      <c r="AA143" s="37"/>
      <c r="AB143" s="183">
        <v>0</v>
      </c>
    </row>
    <row r="144" spans="1:28" x14ac:dyDescent="0.2">
      <c r="A144" s="29" t="s">
        <v>65</v>
      </c>
      <c r="B144" s="94">
        <v>804</v>
      </c>
      <c r="C144" s="31" t="s">
        <v>137</v>
      </c>
      <c r="D144" s="49" t="s">
        <v>138</v>
      </c>
      <c r="E144" s="32" t="s">
        <v>19</v>
      </c>
      <c r="F144" s="31" t="s">
        <v>66</v>
      </c>
      <c r="G144" s="31"/>
      <c r="H144" s="51">
        <f t="shared" ref="H144:O144" si="88">SUM(H145:H145)</f>
        <v>15503.35</v>
      </c>
      <c r="I144" s="51">
        <f t="shared" si="88"/>
        <v>-60</v>
      </c>
      <c r="J144" s="51">
        <f t="shared" si="88"/>
        <v>-60</v>
      </c>
      <c r="K144" s="51">
        <f t="shared" si="88"/>
        <v>0</v>
      </c>
      <c r="L144" s="51">
        <f t="shared" si="88"/>
        <v>0</v>
      </c>
      <c r="M144" s="51">
        <f t="shared" si="88"/>
        <v>0</v>
      </c>
      <c r="N144" s="51">
        <f t="shared" si="88"/>
        <v>15443.35</v>
      </c>
      <c r="O144" s="51">
        <f t="shared" si="88"/>
        <v>15503.35</v>
      </c>
      <c r="P144" s="282">
        <f>SUM(P145:P147)</f>
        <v>52504</v>
      </c>
      <c r="Q144" s="282">
        <f t="shared" ref="Q144:V144" si="89">SUM(Q145:Q147)</f>
        <v>0</v>
      </c>
      <c r="R144" s="282">
        <f t="shared" si="89"/>
        <v>0</v>
      </c>
      <c r="S144" s="282">
        <f t="shared" si="89"/>
        <v>0</v>
      </c>
      <c r="T144" s="282">
        <f t="shared" si="89"/>
        <v>0</v>
      </c>
      <c r="U144" s="282">
        <f t="shared" si="89"/>
        <v>0</v>
      </c>
      <c r="V144" s="282">
        <f t="shared" si="89"/>
        <v>0</v>
      </c>
      <c r="W144" s="397">
        <f>SUM(W145:W147)</f>
        <v>52504</v>
      </c>
      <c r="X144" s="320"/>
      <c r="Y144" s="320"/>
      <c r="Z144" s="353"/>
      <c r="AA144" s="282">
        <f>SUM(AA145:AA147)</f>
        <v>0</v>
      </c>
      <c r="AB144" s="282">
        <f t="shared" ref="AB144" si="90">SUM(AB145:AB147)</f>
        <v>52504</v>
      </c>
    </row>
    <row r="145" spans="1:28" s="80" customFormat="1" ht="25.5" x14ac:dyDescent="0.2">
      <c r="A145" s="95" t="s">
        <v>412</v>
      </c>
      <c r="B145" s="114"/>
      <c r="C145" s="36"/>
      <c r="D145" s="49"/>
      <c r="E145" s="77" t="s">
        <v>118</v>
      </c>
      <c r="F145" s="36" t="s">
        <v>497</v>
      </c>
      <c r="G145" s="36" t="s">
        <v>119</v>
      </c>
      <c r="H145" s="78">
        <v>15503.35</v>
      </c>
      <c r="I145" s="37">
        <f>SUM(J145:M145)</f>
        <v>-60</v>
      </c>
      <c r="J145" s="78">
        <v>-60</v>
      </c>
      <c r="K145" s="79">
        <v>0</v>
      </c>
      <c r="L145" s="79">
        <v>0</v>
      </c>
      <c r="M145" s="79">
        <v>0</v>
      </c>
      <c r="N145" s="39">
        <f>H145+I145</f>
        <v>15443.35</v>
      </c>
      <c r="O145" s="78">
        <v>15503.35</v>
      </c>
      <c r="P145" s="74">
        <v>22504</v>
      </c>
      <c r="Q145" s="78">
        <f>R145+S145+T145+U145+V145</f>
        <v>0</v>
      </c>
      <c r="R145" s="78">
        <v>0</v>
      </c>
      <c r="S145" s="51"/>
      <c r="T145" s="51"/>
      <c r="U145" s="78">
        <v>0</v>
      </c>
      <c r="V145" s="78"/>
      <c r="W145" s="183">
        <v>22504</v>
      </c>
      <c r="X145" s="322"/>
      <c r="Y145" s="322"/>
      <c r="Z145" s="357"/>
      <c r="AA145" s="78">
        <v>0</v>
      </c>
      <c r="AB145" s="37">
        <v>22504</v>
      </c>
    </row>
    <row r="146" spans="1:28" s="80" customFormat="1" ht="25.5" hidden="1" x14ac:dyDescent="0.2">
      <c r="A146" s="95" t="s">
        <v>117</v>
      </c>
      <c r="B146" s="76"/>
      <c r="C146" s="36"/>
      <c r="D146" s="36"/>
      <c r="E146" s="77" t="s">
        <v>118</v>
      </c>
      <c r="F146" s="36"/>
      <c r="G146" s="36" t="s">
        <v>119</v>
      </c>
      <c r="H146" s="78">
        <v>54564</v>
      </c>
      <c r="I146" s="37">
        <f>SUM(J146:M146)</f>
        <v>0</v>
      </c>
      <c r="J146" s="78"/>
      <c r="K146" s="79"/>
      <c r="L146" s="79"/>
      <c r="M146" s="79"/>
      <c r="N146" s="39">
        <f>H146+I146</f>
        <v>54564</v>
      </c>
      <c r="O146" s="78">
        <v>54564</v>
      </c>
      <c r="P146" s="74">
        <v>0</v>
      </c>
      <c r="Q146" s="78"/>
      <c r="R146" s="78"/>
      <c r="S146" s="51"/>
      <c r="T146" s="51"/>
      <c r="U146" s="78"/>
      <c r="V146" s="78"/>
      <c r="W146" s="183"/>
      <c r="X146" s="322"/>
      <c r="Y146" s="322"/>
      <c r="Z146" s="357"/>
      <c r="AA146" s="78"/>
      <c r="AB146" s="37"/>
    </row>
    <row r="147" spans="1:28" s="80" customFormat="1" ht="25.5" x14ac:dyDescent="0.2">
      <c r="A147" s="95" t="s">
        <v>120</v>
      </c>
      <c r="B147" s="76"/>
      <c r="C147" s="36"/>
      <c r="D147" s="36"/>
      <c r="E147" s="77" t="s">
        <v>121</v>
      </c>
      <c r="F147" s="36" t="s">
        <v>497</v>
      </c>
      <c r="G147" s="36" t="s">
        <v>119</v>
      </c>
      <c r="H147" s="78">
        <v>20000</v>
      </c>
      <c r="I147" s="37">
        <f>SUM(J147:M147)</f>
        <v>0</v>
      </c>
      <c r="J147" s="78"/>
      <c r="K147" s="79"/>
      <c r="L147" s="79"/>
      <c r="M147" s="79"/>
      <c r="N147" s="39">
        <f>H147+I147</f>
        <v>20000</v>
      </c>
      <c r="O147" s="78">
        <v>20000</v>
      </c>
      <c r="P147" s="74">
        <v>30000</v>
      </c>
      <c r="Q147" s="78">
        <f>R147+S147+T147+U147+V147</f>
        <v>0</v>
      </c>
      <c r="R147" s="78"/>
      <c r="S147" s="51"/>
      <c r="T147" s="51"/>
      <c r="U147" s="78">
        <v>0</v>
      </c>
      <c r="V147" s="78"/>
      <c r="W147" s="183">
        <v>30000</v>
      </c>
      <c r="X147" s="322"/>
      <c r="Y147" s="322"/>
      <c r="Z147" s="357"/>
      <c r="AA147" s="78"/>
      <c r="AB147" s="37">
        <v>30000</v>
      </c>
    </row>
    <row r="148" spans="1:28" hidden="1" x14ac:dyDescent="0.2">
      <c r="A148" s="54" t="s">
        <v>72</v>
      </c>
      <c r="B148" s="115">
        <v>804</v>
      </c>
      <c r="C148" s="49" t="s">
        <v>137</v>
      </c>
      <c r="D148" s="49" t="s">
        <v>138</v>
      </c>
      <c r="E148" s="50" t="s">
        <v>46</v>
      </c>
      <c r="F148" s="49" t="s">
        <v>73</v>
      </c>
      <c r="G148" s="49"/>
      <c r="H148" s="51">
        <f t="shared" ref="H148:P148" si="91">SUM(H149:H149)</f>
        <v>0</v>
      </c>
      <c r="I148" s="51">
        <f t="shared" si="91"/>
        <v>0</v>
      </c>
      <c r="J148" s="51">
        <f t="shared" si="91"/>
        <v>0</v>
      </c>
      <c r="K148" s="52">
        <f t="shared" si="91"/>
        <v>0</v>
      </c>
      <c r="L148" s="52">
        <f t="shared" si="91"/>
        <v>0</v>
      </c>
      <c r="M148" s="52">
        <f t="shared" si="91"/>
        <v>0</v>
      </c>
      <c r="N148" s="52">
        <f t="shared" si="91"/>
        <v>0</v>
      </c>
      <c r="O148" s="51">
        <f t="shared" si="91"/>
        <v>0</v>
      </c>
      <c r="P148" s="282">
        <f t="shared" si="91"/>
        <v>0</v>
      </c>
      <c r="Q148" s="51"/>
      <c r="R148" s="51"/>
      <c r="S148" s="51"/>
      <c r="T148" s="51"/>
      <c r="U148" s="51"/>
      <c r="V148" s="51"/>
      <c r="W148" s="37"/>
      <c r="X148" s="320"/>
      <c r="Y148" s="320"/>
      <c r="Z148" s="353"/>
      <c r="AA148" s="51"/>
      <c r="AB148" s="37"/>
    </row>
    <row r="149" spans="1:28" ht="25.5" hidden="1" x14ac:dyDescent="0.2">
      <c r="A149" s="46" t="s">
        <v>150</v>
      </c>
      <c r="B149" s="13"/>
      <c r="C149" s="14"/>
      <c r="D149" s="14"/>
      <c r="E149" s="15"/>
      <c r="F149" s="14"/>
      <c r="G149" s="36" t="s">
        <v>75</v>
      </c>
      <c r="H149" s="37">
        <v>0</v>
      </c>
      <c r="I149" s="37">
        <f>SUM(J149:M149)</f>
        <v>0</v>
      </c>
      <c r="J149" s="37">
        <v>0</v>
      </c>
      <c r="K149" s="38">
        <v>0</v>
      </c>
      <c r="L149" s="38">
        <v>0</v>
      </c>
      <c r="M149" s="38">
        <v>0</v>
      </c>
      <c r="N149" s="39">
        <f>H149+I149</f>
        <v>0</v>
      </c>
      <c r="O149" s="37">
        <v>0</v>
      </c>
      <c r="P149" s="60">
        <v>0</v>
      </c>
      <c r="Q149" s="37"/>
      <c r="R149" s="37"/>
      <c r="S149" s="37"/>
      <c r="T149" s="37"/>
      <c r="U149" s="37"/>
      <c r="V149" s="37"/>
      <c r="W149" s="37"/>
      <c r="X149" s="320"/>
      <c r="Y149" s="320"/>
      <c r="Z149" s="353"/>
      <c r="AA149" s="37"/>
      <c r="AB149" s="37"/>
    </row>
    <row r="150" spans="1:28" ht="25.5" x14ac:dyDescent="0.2">
      <c r="A150" s="12" t="s">
        <v>76</v>
      </c>
      <c r="B150" s="94">
        <v>804</v>
      </c>
      <c r="C150" s="31" t="s">
        <v>137</v>
      </c>
      <c r="D150" s="49" t="s">
        <v>138</v>
      </c>
      <c r="E150" s="32" t="s">
        <v>46</v>
      </c>
      <c r="F150" s="31" t="s">
        <v>77</v>
      </c>
      <c r="G150" s="14"/>
      <c r="H150" s="51">
        <f t="shared" ref="H150:N150" si="92">SUM(H151:H152)</f>
        <v>50000</v>
      </c>
      <c r="I150" s="51">
        <f t="shared" si="92"/>
        <v>151300</v>
      </c>
      <c r="J150" s="51">
        <f t="shared" si="92"/>
        <v>1300</v>
      </c>
      <c r="K150" s="52">
        <f t="shared" si="92"/>
        <v>0</v>
      </c>
      <c r="L150" s="52">
        <f t="shared" si="92"/>
        <v>0</v>
      </c>
      <c r="M150" s="52">
        <f t="shared" si="92"/>
        <v>150000</v>
      </c>
      <c r="N150" s="52">
        <f t="shared" si="92"/>
        <v>201300</v>
      </c>
      <c r="O150" s="51">
        <f>SUM(O151:O152)</f>
        <v>40000</v>
      </c>
      <c r="P150" s="282">
        <f>SUM(P152:P154)</f>
        <v>290000</v>
      </c>
      <c r="Q150" s="282">
        <f t="shared" ref="Q150:V150" si="93">SUM(Q152:Q154)</f>
        <v>0</v>
      </c>
      <c r="R150" s="282">
        <f t="shared" si="93"/>
        <v>0</v>
      </c>
      <c r="S150" s="282">
        <f t="shared" si="93"/>
        <v>0</v>
      </c>
      <c r="T150" s="282">
        <f t="shared" si="93"/>
        <v>0</v>
      </c>
      <c r="U150" s="282">
        <f t="shared" si="93"/>
        <v>0</v>
      </c>
      <c r="V150" s="282">
        <f t="shared" si="93"/>
        <v>0</v>
      </c>
      <c r="W150" s="282">
        <f>SUM(W152:W154)</f>
        <v>60260</v>
      </c>
      <c r="X150" s="320"/>
      <c r="Y150" s="320"/>
      <c r="Z150" s="353"/>
      <c r="AA150" s="282">
        <f>AA152+AA153</f>
        <v>20000</v>
      </c>
      <c r="AB150" s="282">
        <f t="shared" ref="AB150" si="94">SUM(AB152:AB154)</f>
        <v>60260</v>
      </c>
    </row>
    <row r="151" spans="1:28" hidden="1" x14ac:dyDescent="0.2">
      <c r="A151" s="95" t="s">
        <v>134</v>
      </c>
      <c r="B151" s="47"/>
      <c r="C151" s="14"/>
      <c r="D151" s="14"/>
      <c r="E151" s="15"/>
      <c r="F151" s="14"/>
      <c r="G151" s="14" t="s">
        <v>127</v>
      </c>
      <c r="H151" s="81">
        <v>0</v>
      </c>
      <c r="I151" s="37">
        <f>SUM(J151:M151)</f>
        <v>130000</v>
      </c>
      <c r="J151" s="81">
        <v>0</v>
      </c>
      <c r="K151" s="82">
        <v>0</v>
      </c>
      <c r="L151" s="82">
        <v>0</v>
      </c>
      <c r="M151" s="82">
        <v>130000</v>
      </c>
      <c r="N151" s="39">
        <f>H151+I151</f>
        <v>130000</v>
      </c>
      <c r="O151" s="81">
        <v>0</v>
      </c>
      <c r="P151" s="283">
        <v>0</v>
      </c>
      <c r="Q151" s="81"/>
      <c r="R151" s="81"/>
      <c r="S151" s="81"/>
      <c r="T151" s="81"/>
      <c r="U151" s="81"/>
      <c r="V151" s="81"/>
      <c r="W151" s="37"/>
      <c r="X151" s="320"/>
      <c r="Y151" s="320"/>
      <c r="Z151" s="353"/>
      <c r="AA151" s="81"/>
      <c r="AB151" s="37"/>
    </row>
    <row r="152" spans="1:28" ht="25.5" x14ac:dyDescent="0.2">
      <c r="A152" s="46" t="s">
        <v>151</v>
      </c>
      <c r="B152" s="47"/>
      <c r="C152" s="14"/>
      <c r="D152" s="14"/>
      <c r="E152" s="15"/>
      <c r="F152" s="14"/>
      <c r="G152" s="14" t="s">
        <v>81</v>
      </c>
      <c r="H152" s="81">
        <v>50000</v>
      </c>
      <c r="I152" s="37">
        <f>SUM(J152:M152)</f>
        <v>21300</v>
      </c>
      <c r="J152" s="81">
        <v>1300</v>
      </c>
      <c r="K152" s="82">
        <v>0</v>
      </c>
      <c r="L152" s="82">
        <v>0</v>
      </c>
      <c r="M152" s="82">
        <v>20000</v>
      </c>
      <c r="N152" s="39">
        <f>H152+I152</f>
        <v>71300</v>
      </c>
      <c r="O152" s="81">
        <f>50000*80%</f>
        <v>40000</v>
      </c>
      <c r="P152" s="283">
        <v>45835</v>
      </c>
      <c r="Q152" s="81">
        <f>R152+S152+T152+U152+V152</f>
        <v>-575</v>
      </c>
      <c r="R152" s="81">
        <v>-575</v>
      </c>
      <c r="S152" s="81"/>
      <c r="T152" s="81"/>
      <c r="U152" s="81">
        <v>0</v>
      </c>
      <c r="V152" s="81"/>
      <c r="W152" s="183">
        <v>45260</v>
      </c>
      <c r="X152" s="320">
        <f>Y152-W152</f>
        <v>0</v>
      </c>
      <c r="Y152" s="320">
        <f>285260-240000</f>
        <v>45260</v>
      </c>
      <c r="Z152" s="359"/>
      <c r="AA152" s="81">
        <v>20000</v>
      </c>
      <c r="AB152" s="183">
        <v>45260</v>
      </c>
    </row>
    <row r="153" spans="1:28" ht="25.5" x14ac:dyDescent="0.2">
      <c r="A153" s="46" t="s">
        <v>426</v>
      </c>
      <c r="B153" s="47"/>
      <c r="C153" s="14"/>
      <c r="D153" s="14"/>
      <c r="E153" s="15"/>
      <c r="F153" s="14"/>
      <c r="G153" s="14" t="s">
        <v>263</v>
      </c>
      <c r="H153" s="81"/>
      <c r="I153" s="37"/>
      <c r="J153" s="81"/>
      <c r="K153" s="82"/>
      <c r="L153" s="82"/>
      <c r="M153" s="82"/>
      <c r="N153" s="39"/>
      <c r="O153" s="81"/>
      <c r="P153" s="283">
        <v>4165</v>
      </c>
      <c r="Q153" s="81">
        <f>R153+S153+T153+U153+V153</f>
        <v>575</v>
      </c>
      <c r="R153" s="81">
        <v>575</v>
      </c>
      <c r="S153" s="81"/>
      <c r="T153" s="81"/>
      <c r="U153" s="81"/>
      <c r="V153" s="81"/>
      <c r="W153" s="183">
        <v>15000</v>
      </c>
      <c r="X153" s="320">
        <f>4740-W153</f>
        <v>-10260</v>
      </c>
      <c r="Y153" s="320"/>
      <c r="Z153" s="353"/>
      <c r="AA153" s="81"/>
      <c r="AB153" s="37">
        <v>15000</v>
      </c>
    </row>
    <row r="154" spans="1:28" ht="38.25" hidden="1" x14ac:dyDescent="0.2">
      <c r="A154" s="44" t="s">
        <v>518</v>
      </c>
      <c r="B154" s="47"/>
      <c r="C154" s="14"/>
      <c r="D154" s="14"/>
      <c r="E154" s="15"/>
      <c r="F154" s="14"/>
      <c r="G154" s="14" t="s">
        <v>81</v>
      </c>
      <c r="H154" s="81"/>
      <c r="I154" s="37"/>
      <c r="J154" s="81"/>
      <c r="K154" s="82"/>
      <c r="L154" s="82"/>
      <c r="M154" s="82"/>
      <c r="N154" s="39"/>
      <c r="O154" s="81"/>
      <c r="P154" s="283">
        <v>240000</v>
      </c>
      <c r="Q154" s="81">
        <f>R154+S154+T154+U154+V154</f>
        <v>0</v>
      </c>
      <c r="R154" s="81"/>
      <c r="S154" s="81"/>
      <c r="T154" s="81"/>
      <c r="U154" s="81"/>
      <c r="V154" s="81"/>
      <c r="W154" s="183">
        <v>0</v>
      </c>
      <c r="X154" s="320"/>
      <c r="Y154" s="320"/>
      <c r="Z154" s="353"/>
      <c r="AA154" s="81"/>
      <c r="AB154" s="37">
        <v>0</v>
      </c>
    </row>
    <row r="155" spans="1:28" x14ac:dyDescent="0.2">
      <c r="A155" s="116" t="s">
        <v>152</v>
      </c>
      <c r="B155" s="117" t="s">
        <v>131</v>
      </c>
      <c r="C155" s="31" t="s">
        <v>137</v>
      </c>
      <c r="D155" s="104" t="s">
        <v>18</v>
      </c>
      <c r="E155" s="32" t="s">
        <v>19</v>
      </c>
      <c r="F155" s="31" t="s">
        <v>19</v>
      </c>
      <c r="G155" s="31"/>
      <c r="H155" s="33">
        <f>H156+H159+H167+H180</f>
        <v>441199</v>
      </c>
      <c r="I155" s="37"/>
      <c r="J155" s="37"/>
      <c r="K155" s="38"/>
      <c r="L155" s="38"/>
      <c r="M155" s="38"/>
      <c r="N155" s="39"/>
      <c r="O155" s="33">
        <f>O156+O159+O167+O180</f>
        <v>381199</v>
      </c>
      <c r="P155" s="281">
        <f>P167+P180+P182+P183+P184</f>
        <v>12302762.9</v>
      </c>
      <c r="Q155" s="281">
        <f t="shared" ref="Q155:V155" si="95">Q167+Q180+Q182+Q183+Q184</f>
        <v>0</v>
      </c>
      <c r="R155" s="281">
        <f t="shared" si="95"/>
        <v>0</v>
      </c>
      <c r="S155" s="281">
        <f t="shared" si="95"/>
        <v>0</v>
      </c>
      <c r="T155" s="281">
        <f t="shared" si="95"/>
        <v>0</v>
      </c>
      <c r="U155" s="281">
        <f t="shared" si="95"/>
        <v>0</v>
      </c>
      <c r="V155" s="281">
        <f t="shared" si="95"/>
        <v>0</v>
      </c>
      <c r="W155" s="285">
        <f>W167+W180+W182+W183+W184</f>
        <v>314770</v>
      </c>
      <c r="X155" s="320"/>
      <c r="Y155" s="320"/>
      <c r="Z155" s="353"/>
      <c r="AA155" s="281">
        <f>AA167+AA180+AA182+AA183+AA184</f>
        <v>3534242.25</v>
      </c>
      <c r="AB155" s="281">
        <f t="shared" ref="AB155" si="96">AB167+AB180+AB182+AB183+AB184</f>
        <v>314770</v>
      </c>
    </row>
    <row r="156" spans="1:28" hidden="1" x14ac:dyDescent="0.2">
      <c r="A156" s="29" t="s">
        <v>57</v>
      </c>
      <c r="B156" s="111">
        <v>804</v>
      </c>
      <c r="C156" s="31" t="s">
        <v>137</v>
      </c>
      <c r="D156" s="36" t="s">
        <v>34</v>
      </c>
      <c r="E156" s="32" t="s">
        <v>46</v>
      </c>
      <c r="F156" s="31" t="s">
        <v>58</v>
      </c>
      <c r="G156" s="31"/>
      <c r="H156" s="51">
        <f>SUM(H157:H158)</f>
        <v>141199</v>
      </c>
      <c r="I156" s="37"/>
      <c r="J156" s="37"/>
      <c r="K156" s="38"/>
      <c r="L156" s="38"/>
      <c r="M156" s="38"/>
      <c r="N156" s="39"/>
      <c r="O156" s="51">
        <f>SUM(O157:O158)</f>
        <v>141199</v>
      </c>
      <c r="P156" s="282">
        <f>SUM(P157:P158)</f>
        <v>0</v>
      </c>
      <c r="Q156" s="282">
        <f t="shared" ref="Q156:W156" si="97">SUM(Q157:Q158)</f>
        <v>0</v>
      </c>
      <c r="R156" s="282">
        <f t="shared" si="97"/>
        <v>0</v>
      </c>
      <c r="S156" s="282">
        <f t="shared" si="97"/>
        <v>0</v>
      </c>
      <c r="T156" s="282">
        <f t="shared" si="97"/>
        <v>0</v>
      </c>
      <c r="U156" s="282">
        <f t="shared" si="97"/>
        <v>0</v>
      </c>
      <c r="V156" s="282"/>
      <c r="W156" s="397">
        <f t="shared" si="97"/>
        <v>0</v>
      </c>
      <c r="X156" s="320"/>
      <c r="Y156" s="320"/>
      <c r="Z156" s="353"/>
      <c r="AA156" s="282">
        <f>SUM(AA157:AA158)</f>
        <v>0</v>
      </c>
      <c r="AB156" s="282">
        <f t="shared" ref="AB156" si="98">SUM(AB157:AB158)</f>
        <v>0</v>
      </c>
    </row>
    <row r="157" spans="1:28" ht="25.5" hidden="1" x14ac:dyDescent="0.2">
      <c r="A157" s="44" t="s">
        <v>153</v>
      </c>
      <c r="B157" s="45"/>
      <c r="C157" s="14"/>
      <c r="D157" s="14"/>
      <c r="E157" s="15"/>
      <c r="F157" s="14"/>
      <c r="G157" s="14" t="s">
        <v>64</v>
      </c>
      <c r="H157" s="37">
        <v>110000</v>
      </c>
      <c r="I157" s="37"/>
      <c r="J157" s="37"/>
      <c r="K157" s="38"/>
      <c r="L157" s="38"/>
      <c r="M157" s="38"/>
      <c r="N157" s="39"/>
      <c r="O157" s="37">
        <v>110000</v>
      </c>
      <c r="P157" s="60">
        <v>0</v>
      </c>
      <c r="Q157" s="60">
        <v>0</v>
      </c>
      <c r="R157" s="60">
        <v>0</v>
      </c>
      <c r="S157" s="60">
        <v>0</v>
      </c>
      <c r="T157" s="60">
        <v>0</v>
      </c>
      <c r="U157" s="60">
        <v>0</v>
      </c>
      <c r="V157" s="60"/>
      <c r="W157" s="291">
        <v>0</v>
      </c>
      <c r="X157" s="320"/>
      <c r="Y157" s="320"/>
      <c r="Z157" s="353"/>
      <c r="AA157" s="60">
        <v>0</v>
      </c>
      <c r="AB157" s="60">
        <v>0</v>
      </c>
    </row>
    <row r="158" spans="1:28" hidden="1" x14ac:dyDescent="0.2">
      <c r="A158" s="44" t="s">
        <v>154</v>
      </c>
      <c r="B158" s="45"/>
      <c r="C158" s="14"/>
      <c r="D158" s="14"/>
      <c r="E158" s="15"/>
      <c r="F158" s="14"/>
      <c r="G158" s="14" t="s">
        <v>64</v>
      </c>
      <c r="H158" s="37">
        <v>31199</v>
      </c>
      <c r="I158" s="37"/>
      <c r="J158" s="37"/>
      <c r="K158" s="38"/>
      <c r="L158" s="38"/>
      <c r="M158" s="38"/>
      <c r="N158" s="39"/>
      <c r="O158" s="37">
        <v>31199</v>
      </c>
      <c r="P158" s="60">
        <v>0</v>
      </c>
      <c r="Q158" s="60">
        <v>0</v>
      </c>
      <c r="R158" s="60">
        <v>0</v>
      </c>
      <c r="S158" s="60">
        <v>0</v>
      </c>
      <c r="T158" s="60">
        <v>0</v>
      </c>
      <c r="U158" s="60">
        <v>0</v>
      </c>
      <c r="V158" s="60"/>
      <c r="W158" s="291">
        <v>0</v>
      </c>
      <c r="X158" s="320"/>
      <c r="Y158" s="320"/>
      <c r="Z158" s="353"/>
      <c r="AA158" s="60">
        <v>0</v>
      </c>
      <c r="AB158" s="60">
        <v>0</v>
      </c>
    </row>
    <row r="159" spans="1:28" hidden="1" x14ac:dyDescent="0.2">
      <c r="A159" s="29" t="s">
        <v>65</v>
      </c>
      <c r="B159" s="94">
        <v>804</v>
      </c>
      <c r="C159" s="31" t="s">
        <v>137</v>
      </c>
      <c r="D159" s="49" t="s">
        <v>34</v>
      </c>
      <c r="E159" s="32" t="s">
        <v>19</v>
      </c>
      <c r="F159" s="31" t="s">
        <v>66</v>
      </c>
      <c r="G159" s="31"/>
      <c r="H159" s="51">
        <f>SUM(H160:H161)</f>
        <v>150000</v>
      </c>
      <c r="I159" s="37"/>
      <c r="J159" s="37"/>
      <c r="K159" s="38"/>
      <c r="L159" s="38"/>
      <c r="M159" s="38"/>
      <c r="N159" s="39"/>
      <c r="O159" s="51">
        <f>SUM(O160:O161)</f>
        <v>120000</v>
      </c>
      <c r="P159" s="282">
        <f>SUM(P160:P161)</f>
        <v>0</v>
      </c>
      <c r="Q159" s="282">
        <f t="shared" ref="Q159:W159" si="99">SUM(Q160:Q161)</f>
        <v>0</v>
      </c>
      <c r="R159" s="282">
        <f t="shared" si="99"/>
        <v>0</v>
      </c>
      <c r="S159" s="282">
        <f t="shared" si="99"/>
        <v>0</v>
      </c>
      <c r="T159" s="282">
        <f t="shared" si="99"/>
        <v>0</v>
      </c>
      <c r="U159" s="282">
        <f t="shared" si="99"/>
        <v>0</v>
      </c>
      <c r="V159" s="282"/>
      <c r="W159" s="397">
        <f t="shared" si="99"/>
        <v>0</v>
      </c>
      <c r="X159" s="320"/>
      <c r="Y159" s="320"/>
      <c r="Z159" s="353"/>
      <c r="AA159" s="282">
        <f>SUM(AA160:AA161)</f>
        <v>0</v>
      </c>
      <c r="AB159" s="282">
        <f t="shared" ref="AB159" si="100">SUM(AB160:AB161)</f>
        <v>0</v>
      </c>
    </row>
    <row r="160" spans="1:28" hidden="1" x14ac:dyDescent="0.2">
      <c r="A160" s="75" t="s">
        <v>155</v>
      </c>
      <c r="B160" s="94"/>
      <c r="C160" s="31"/>
      <c r="D160" s="36"/>
      <c r="E160" s="77" t="s">
        <v>124</v>
      </c>
      <c r="F160" s="31"/>
      <c r="G160" s="36" t="s">
        <v>122</v>
      </c>
      <c r="H160" s="78">
        <v>45000</v>
      </c>
      <c r="I160" s="37"/>
      <c r="J160" s="37"/>
      <c r="K160" s="38"/>
      <c r="L160" s="38"/>
      <c r="M160" s="38"/>
      <c r="N160" s="39"/>
      <c r="O160" s="78">
        <f>45000*80%</f>
        <v>36000</v>
      </c>
      <c r="P160" s="74">
        <v>0</v>
      </c>
      <c r="Q160" s="74">
        <v>0</v>
      </c>
      <c r="R160" s="74">
        <v>0</v>
      </c>
      <c r="S160" s="74">
        <v>0</v>
      </c>
      <c r="T160" s="74">
        <v>0</v>
      </c>
      <c r="U160" s="74">
        <v>0</v>
      </c>
      <c r="V160" s="74"/>
      <c r="W160" s="294">
        <v>0</v>
      </c>
      <c r="X160" s="320"/>
      <c r="Y160" s="320"/>
      <c r="Z160" s="353"/>
      <c r="AA160" s="74">
        <v>0</v>
      </c>
      <c r="AB160" s="74">
        <v>0</v>
      </c>
    </row>
    <row r="161" spans="1:28" ht="25.5" hidden="1" x14ac:dyDescent="0.2">
      <c r="A161" s="95" t="s">
        <v>156</v>
      </c>
      <c r="B161" s="94"/>
      <c r="C161" s="31"/>
      <c r="D161" s="36"/>
      <c r="E161" s="77" t="s">
        <v>46</v>
      </c>
      <c r="F161" s="31"/>
      <c r="G161" s="36" t="s">
        <v>68</v>
      </c>
      <c r="H161" s="78">
        <v>105000</v>
      </c>
      <c r="I161" s="37"/>
      <c r="J161" s="37"/>
      <c r="K161" s="38"/>
      <c r="L161" s="38"/>
      <c r="M161" s="38"/>
      <c r="N161" s="39"/>
      <c r="O161" s="78">
        <f>105000*80%</f>
        <v>84000</v>
      </c>
      <c r="P161" s="74">
        <v>0</v>
      </c>
      <c r="Q161" s="74">
        <v>0</v>
      </c>
      <c r="R161" s="74">
        <v>0</v>
      </c>
      <c r="S161" s="74">
        <v>0</v>
      </c>
      <c r="T161" s="74">
        <v>0</v>
      </c>
      <c r="U161" s="74">
        <v>0</v>
      </c>
      <c r="V161" s="74"/>
      <c r="W161" s="294">
        <v>0</v>
      </c>
      <c r="X161" s="320"/>
      <c r="Y161" s="320"/>
      <c r="Z161" s="353"/>
      <c r="AA161" s="74">
        <v>0</v>
      </c>
      <c r="AB161" s="74">
        <v>0</v>
      </c>
    </row>
    <row r="162" spans="1:28" hidden="1" x14ac:dyDescent="0.2">
      <c r="A162" s="29" t="s">
        <v>87</v>
      </c>
      <c r="B162" s="94">
        <v>804</v>
      </c>
      <c r="C162" s="31" t="s">
        <v>137</v>
      </c>
      <c r="D162" s="31" t="s">
        <v>157</v>
      </c>
      <c r="E162" s="32" t="s">
        <v>46</v>
      </c>
      <c r="F162" s="31" t="s">
        <v>88</v>
      </c>
      <c r="G162" s="31" t="s">
        <v>90</v>
      </c>
      <c r="H162" s="33">
        <f>H167</f>
        <v>150000</v>
      </c>
      <c r="I162" s="37"/>
      <c r="J162" s="37"/>
      <c r="K162" s="38"/>
      <c r="L162" s="38"/>
      <c r="M162" s="38"/>
      <c r="N162" s="39"/>
      <c r="O162" s="33">
        <f>O167</f>
        <v>120000</v>
      </c>
      <c r="P162" s="281">
        <v>0</v>
      </c>
      <c r="Q162" s="281">
        <v>0</v>
      </c>
      <c r="R162" s="281">
        <v>0</v>
      </c>
      <c r="S162" s="281">
        <v>0</v>
      </c>
      <c r="T162" s="281">
        <v>0</v>
      </c>
      <c r="U162" s="281">
        <v>0</v>
      </c>
      <c r="V162" s="281"/>
      <c r="W162" s="285">
        <v>0</v>
      </c>
      <c r="X162" s="320"/>
      <c r="Y162" s="320"/>
      <c r="Z162" s="353"/>
      <c r="AA162" s="281">
        <v>0</v>
      </c>
      <c r="AB162" s="281">
        <v>0</v>
      </c>
    </row>
    <row r="163" spans="1:28" ht="25.5" hidden="1" x14ac:dyDescent="0.2">
      <c r="A163" s="46" t="s">
        <v>93</v>
      </c>
      <c r="B163" s="114">
        <v>804</v>
      </c>
      <c r="C163" s="36" t="s">
        <v>137</v>
      </c>
      <c r="D163" s="36" t="s">
        <v>157</v>
      </c>
      <c r="E163" s="77" t="s">
        <v>46</v>
      </c>
      <c r="F163" s="36" t="s">
        <v>88</v>
      </c>
      <c r="G163" s="36" t="s">
        <v>140</v>
      </c>
      <c r="H163" s="33"/>
      <c r="I163" s="37"/>
      <c r="J163" s="37"/>
      <c r="K163" s="38"/>
      <c r="L163" s="38"/>
      <c r="M163" s="38"/>
      <c r="N163" s="39"/>
      <c r="O163" s="33"/>
      <c r="P163" s="74">
        <v>0</v>
      </c>
      <c r="Q163" s="74">
        <v>0</v>
      </c>
      <c r="R163" s="74">
        <v>0</v>
      </c>
      <c r="S163" s="74">
        <v>0</v>
      </c>
      <c r="T163" s="74">
        <v>0</v>
      </c>
      <c r="U163" s="74">
        <v>0</v>
      </c>
      <c r="V163" s="74"/>
      <c r="W163" s="294">
        <v>0</v>
      </c>
      <c r="X163" s="320"/>
      <c r="Y163" s="320"/>
      <c r="Z163" s="353"/>
      <c r="AA163" s="74">
        <v>0</v>
      </c>
      <c r="AB163" s="74">
        <v>0</v>
      </c>
    </row>
    <row r="164" spans="1:28" hidden="1" x14ac:dyDescent="0.2">
      <c r="A164" s="46" t="s">
        <v>95</v>
      </c>
      <c r="B164" s="114">
        <v>804</v>
      </c>
      <c r="C164" s="36" t="s">
        <v>137</v>
      </c>
      <c r="D164" s="36" t="s">
        <v>157</v>
      </c>
      <c r="E164" s="77" t="s">
        <v>46</v>
      </c>
      <c r="F164" s="36" t="s">
        <v>88</v>
      </c>
      <c r="G164" s="36" t="s">
        <v>96</v>
      </c>
      <c r="H164" s="33"/>
      <c r="I164" s="37"/>
      <c r="J164" s="37"/>
      <c r="K164" s="38"/>
      <c r="L164" s="38"/>
      <c r="M164" s="38"/>
      <c r="N164" s="39"/>
      <c r="O164" s="33"/>
      <c r="P164" s="74">
        <v>0</v>
      </c>
      <c r="Q164" s="74">
        <v>0</v>
      </c>
      <c r="R164" s="74">
        <v>0</v>
      </c>
      <c r="S164" s="74">
        <v>0</v>
      </c>
      <c r="T164" s="74">
        <v>0</v>
      </c>
      <c r="U164" s="74">
        <v>0</v>
      </c>
      <c r="V164" s="74"/>
      <c r="W164" s="294">
        <v>0</v>
      </c>
      <c r="X164" s="320"/>
      <c r="Y164" s="320"/>
      <c r="Z164" s="353"/>
      <c r="AA164" s="74">
        <v>0</v>
      </c>
      <c r="AB164" s="74">
        <v>0</v>
      </c>
    </row>
    <row r="165" spans="1:28" hidden="1" x14ac:dyDescent="0.2">
      <c r="A165" s="29"/>
      <c r="B165" s="114">
        <v>804</v>
      </c>
      <c r="C165" s="36" t="s">
        <v>137</v>
      </c>
      <c r="D165" s="36" t="s">
        <v>158</v>
      </c>
      <c r="E165" s="77" t="s">
        <v>46</v>
      </c>
      <c r="F165" s="36" t="s">
        <v>88</v>
      </c>
      <c r="G165" s="31"/>
      <c r="H165" s="33"/>
      <c r="I165" s="37"/>
      <c r="J165" s="37"/>
      <c r="K165" s="38"/>
      <c r="L165" s="38"/>
      <c r="M165" s="38"/>
      <c r="N165" s="39"/>
      <c r="O165" s="33"/>
      <c r="P165" s="281"/>
      <c r="Q165" s="281"/>
      <c r="R165" s="281"/>
      <c r="S165" s="281"/>
      <c r="T165" s="281"/>
      <c r="U165" s="281"/>
      <c r="V165" s="281"/>
      <c r="W165" s="285"/>
      <c r="X165" s="320"/>
      <c r="Y165" s="320"/>
      <c r="Z165" s="353"/>
      <c r="AA165" s="281"/>
      <c r="AB165" s="281"/>
    </row>
    <row r="166" spans="1:28" hidden="1" x14ac:dyDescent="0.2">
      <c r="A166" s="29"/>
      <c r="B166" s="114">
        <v>804</v>
      </c>
      <c r="C166" s="36" t="s">
        <v>137</v>
      </c>
      <c r="D166" s="36" t="s">
        <v>158</v>
      </c>
      <c r="E166" s="77" t="s">
        <v>46</v>
      </c>
      <c r="F166" s="36" t="s">
        <v>88</v>
      </c>
      <c r="G166" s="31"/>
      <c r="H166" s="33"/>
      <c r="I166" s="37"/>
      <c r="J166" s="37"/>
      <c r="K166" s="38"/>
      <c r="L166" s="38"/>
      <c r="M166" s="38"/>
      <c r="N166" s="39"/>
      <c r="O166" s="33"/>
      <c r="P166" s="281"/>
      <c r="Q166" s="281"/>
      <c r="R166" s="281"/>
      <c r="S166" s="281"/>
      <c r="T166" s="281"/>
      <c r="U166" s="281"/>
      <c r="V166" s="281"/>
      <c r="W166" s="285"/>
      <c r="X166" s="320"/>
      <c r="Y166" s="320"/>
      <c r="Z166" s="353"/>
      <c r="AA166" s="281"/>
      <c r="AB166" s="281"/>
    </row>
    <row r="167" spans="1:28" x14ac:dyDescent="0.2">
      <c r="A167" s="29" t="s">
        <v>65</v>
      </c>
      <c r="B167" s="94">
        <v>804</v>
      </c>
      <c r="C167" s="31" t="s">
        <v>137</v>
      </c>
      <c r="D167" s="31" t="s">
        <v>158</v>
      </c>
      <c r="E167" s="32" t="s">
        <v>19</v>
      </c>
      <c r="F167" s="31" t="s">
        <v>66</v>
      </c>
      <c r="G167" s="31"/>
      <c r="H167" s="33">
        <f>H168</f>
        <v>150000</v>
      </c>
      <c r="I167" s="37"/>
      <c r="J167" s="37"/>
      <c r="K167" s="38"/>
      <c r="L167" s="38"/>
      <c r="M167" s="38"/>
      <c r="N167" s="39"/>
      <c r="O167" s="33">
        <f>O168</f>
        <v>120000</v>
      </c>
      <c r="P167" s="281">
        <f>SUM(P169:P179)</f>
        <v>12111762.9</v>
      </c>
      <c r="Q167" s="281">
        <f t="shared" ref="Q167:V167" si="101">SUM(Q169:Q179)</f>
        <v>0</v>
      </c>
      <c r="R167" s="281">
        <f t="shared" si="101"/>
        <v>0</v>
      </c>
      <c r="S167" s="281">
        <f t="shared" si="101"/>
        <v>0</v>
      </c>
      <c r="T167" s="281">
        <f t="shared" si="101"/>
        <v>0</v>
      </c>
      <c r="U167" s="281">
        <f t="shared" si="101"/>
        <v>0</v>
      </c>
      <c r="V167" s="281">
        <f t="shared" si="101"/>
        <v>0</v>
      </c>
      <c r="W167" s="285">
        <f>SUM(W169:W179)</f>
        <v>105000</v>
      </c>
      <c r="X167" s="320"/>
      <c r="Y167" s="320"/>
      <c r="Z167" s="353"/>
      <c r="AA167" s="281">
        <f>SUM(AA169:AA177)</f>
        <v>3534242.25</v>
      </c>
      <c r="AB167" s="281">
        <f t="shared" ref="AB167" si="102">SUM(AB169:AB179)</f>
        <v>105000</v>
      </c>
    </row>
    <row r="168" spans="1:28" ht="25.5" hidden="1" x14ac:dyDescent="0.2">
      <c r="A168" s="118" t="s">
        <v>159</v>
      </c>
      <c r="B168" s="119"/>
      <c r="C168" s="14"/>
      <c r="D168" s="14"/>
      <c r="E168" s="15" t="s">
        <v>46</v>
      </c>
      <c r="F168" s="14" t="s">
        <v>66</v>
      </c>
      <c r="G168" s="14" t="s">
        <v>69</v>
      </c>
      <c r="H168" s="37">
        <v>150000</v>
      </c>
      <c r="I168" s="37"/>
      <c r="J168" s="37"/>
      <c r="K168" s="38"/>
      <c r="L168" s="38"/>
      <c r="M168" s="38"/>
      <c r="N168" s="39"/>
      <c r="O168" s="37">
        <f>150000*80%</f>
        <v>120000</v>
      </c>
      <c r="P168" s="60">
        <v>0</v>
      </c>
      <c r="Q168" s="37">
        <f>R168+S168+T168+U168</f>
        <v>0</v>
      </c>
      <c r="R168" s="37">
        <v>0</v>
      </c>
      <c r="S168" s="37"/>
      <c r="T168" s="37"/>
      <c r="U168" s="37"/>
      <c r="V168" s="37"/>
      <c r="W168" s="183">
        <f t="shared" ref="W168:W182" si="103">P168+Q168</f>
        <v>0</v>
      </c>
      <c r="X168" s="320"/>
      <c r="Y168" s="320"/>
      <c r="Z168" s="353"/>
      <c r="AA168" s="37">
        <v>0</v>
      </c>
      <c r="AB168" s="37">
        <f t="shared" ref="AB168:AB182" si="104">U168+V168</f>
        <v>0</v>
      </c>
    </row>
    <row r="169" spans="1:28" ht="25.5" x14ac:dyDescent="0.2">
      <c r="A169" s="120" t="s">
        <v>160</v>
      </c>
      <c r="B169" s="114"/>
      <c r="C169" s="36"/>
      <c r="D169" s="187" t="s">
        <v>158</v>
      </c>
      <c r="E169" s="332" t="s">
        <v>161</v>
      </c>
      <c r="F169" s="331" t="s">
        <v>496</v>
      </c>
      <c r="G169" s="331" t="s">
        <v>69</v>
      </c>
      <c r="H169" s="183"/>
      <c r="I169" s="183"/>
      <c r="J169" s="183"/>
      <c r="K169" s="335"/>
      <c r="L169" s="335"/>
      <c r="M169" s="335"/>
      <c r="N169" s="325"/>
      <c r="O169" s="183"/>
      <c r="P169" s="291">
        <v>100000</v>
      </c>
      <c r="Q169" s="183">
        <f>R169+S169+T169+U169+V169</f>
        <v>0</v>
      </c>
      <c r="R169" s="183"/>
      <c r="S169" s="183"/>
      <c r="T169" s="37"/>
      <c r="U169" s="37"/>
      <c r="V169" s="37"/>
      <c r="W169" s="183">
        <v>100000</v>
      </c>
      <c r="X169" s="320"/>
      <c r="Y169" s="320"/>
      <c r="Z169" s="353"/>
      <c r="AA169" s="183">
        <v>100000</v>
      </c>
      <c r="AB169" s="37">
        <v>100000</v>
      </c>
    </row>
    <row r="170" spans="1:28" hidden="1" x14ac:dyDescent="0.2">
      <c r="A170" s="120" t="s">
        <v>162</v>
      </c>
      <c r="B170" s="114"/>
      <c r="C170" s="36"/>
      <c r="D170" s="187" t="s">
        <v>157</v>
      </c>
      <c r="E170" s="332" t="s">
        <v>163</v>
      </c>
      <c r="F170" s="331" t="s">
        <v>66</v>
      </c>
      <c r="G170" s="331" t="s">
        <v>164</v>
      </c>
      <c r="H170" s="183"/>
      <c r="I170" s="183"/>
      <c r="J170" s="183"/>
      <c r="K170" s="335"/>
      <c r="L170" s="335"/>
      <c r="M170" s="335"/>
      <c r="N170" s="325"/>
      <c r="O170" s="183"/>
      <c r="P170" s="291">
        <v>0</v>
      </c>
      <c r="Q170" s="183">
        <f>R170+S170+T170+U170</f>
        <v>0</v>
      </c>
      <c r="R170" s="183">
        <v>0</v>
      </c>
      <c r="S170" s="183"/>
      <c r="T170" s="37"/>
      <c r="U170" s="37">
        <v>0</v>
      </c>
      <c r="V170" s="37"/>
      <c r="W170" s="183">
        <f t="shared" si="103"/>
        <v>0</v>
      </c>
      <c r="X170" s="320"/>
      <c r="Y170" s="320"/>
      <c r="Z170" s="353"/>
      <c r="AA170" s="37">
        <v>0</v>
      </c>
      <c r="AB170" s="37">
        <f t="shared" si="104"/>
        <v>0</v>
      </c>
    </row>
    <row r="171" spans="1:28" hidden="1" x14ac:dyDescent="0.2">
      <c r="A171" s="120" t="s">
        <v>434</v>
      </c>
      <c r="B171" s="114"/>
      <c r="C171" s="36"/>
      <c r="D171" s="187" t="s">
        <v>157</v>
      </c>
      <c r="E171" s="332" t="s">
        <v>163</v>
      </c>
      <c r="F171" s="331" t="s">
        <v>499</v>
      </c>
      <c r="G171" s="331" t="s">
        <v>69</v>
      </c>
      <c r="H171" s="183"/>
      <c r="I171" s="183"/>
      <c r="J171" s="183"/>
      <c r="K171" s="335"/>
      <c r="L171" s="335"/>
      <c r="M171" s="335"/>
      <c r="N171" s="325"/>
      <c r="O171" s="183"/>
      <c r="P171" s="291">
        <v>51739.76</v>
      </c>
      <c r="Q171" s="183">
        <f t="shared" ref="Q171:Q180" si="105">R171+S171+T171+U171+V171</f>
        <v>0</v>
      </c>
      <c r="R171" s="183"/>
      <c r="S171" s="183"/>
      <c r="T171" s="37"/>
      <c r="U171" s="37">
        <v>0</v>
      </c>
      <c r="V171" s="37"/>
      <c r="W171" s="183"/>
      <c r="X171" s="320"/>
      <c r="Y171" s="320"/>
      <c r="Z171" s="353"/>
      <c r="AA171" s="37"/>
      <c r="AB171" s="37"/>
    </row>
    <row r="172" spans="1:28" hidden="1" x14ac:dyDescent="0.2">
      <c r="A172" s="120" t="s">
        <v>521</v>
      </c>
      <c r="B172" s="114"/>
      <c r="C172" s="36"/>
      <c r="D172" s="187" t="s">
        <v>157</v>
      </c>
      <c r="E172" s="332" t="s">
        <v>163</v>
      </c>
      <c r="F172" s="331" t="s">
        <v>499</v>
      </c>
      <c r="G172" s="331" t="s">
        <v>122</v>
      </c>
      <c r="H172" s="183"/>
      <c r="I172" s="183"/>
      <c r="J172" s="183"/>
      <c r="K172" s="335"/>
      <c r="L172" s="335"/>
      <c r="M172" s="335"/>
      <c r="N172" s="325"/>
      <c r="O172" s="183"/>
      <c r="P172" s="291">
        <v>3434242.25</v>
      </c>
      <c r="Q172" s="183">
        <f t="shared" si="105"/>
        <v>0</v>
      </c>
      <c r="R172" s="183"/>
      <c r="S172" s="183">
        <v>0</v>
      </c>
      <c r="T172" s="37"/>
      <c r="U172" s="37"/>
      <c r="V172" s="37"/>
      <c r="W172" s="183"/>
      <c r="X172" s="320"/>
      <c r="Y172" s="320"/>
      <c r="Z172" s="353"/>
      <c r="AA172" s="37"/>
      <c r="AB172" s="183"/>
    </row>
    <row r="173" spans="1:28" ht="25.5" x14ac:dyDescent="0.2">
      <c r="A173" s="120" t="s">
        <v>123</v>
      </c>
      <c r="B173" s="114"/>
      <c r="C173" s="36"/>
      <c r="D173" s="187" t="s">
        <v>157</v>
      </c>
      <c r="E173" s="332" t="s">
        <v>124</v>
      </c>
      <c r="F173" s="331" t="s">
        <v>500</v>
      </c>
      <c r="G173" s="331" t="s">
        <v>122</v>
      </c>
      <c r="H173" s="183"/>
      <c r="I173" s="183"/>
      <c r="J173" s="183"/>
      <c r="K173" s="335"/>
      <c r="L173" s="335"/>
      <c r="M173" s="335"/>
      <c r="N173" s="325"/>
      <c r="O173" s="183"/>
      <c r="P173" s="291">
        <v>5803.72</v>
      </c>
      <c r="Q173" s="183">
        <f t="shared" si="105"/>
        <v>0</v>
      </c>
      <c r="R173" s="183"/>
      <c r="S173" s="183"/>
      <c r="T173" s="37"/>
      <c r="U173" s="37"/>
      <c r="V173" s="37"/>
      <c r="W173" s="183">
        <v>5000</v>
      </c>
      <c r="X173" s="320"/>
      <c r="Y173" s="320"/>
      <c r="Z173" s="353"/>
      <c r="AA173" s="37"/>
      <c r="AB173" s="183">
        <v>5000</v>
      </c>
    </row>
    <row r="174" spans="1:28" hidden="1" x14ac:dyDescent="0.2">
      <c r="A174" s="120" t="s">
        <v>479</v>
      </c>
      <c r="B174" s="114"/>
      <c r="C174" s="36"/>
      <c r="D174" s="187" t="s">
        <v>157</v>
      </c>
      <c r="E174" s="332" t="s">
        <v>124</v>
      </c>
      <c r="F174" s="331" t="s">
        <v>499</v>
      </c>
      <c r="G174" s="331" t="s">
        <v>122</v>
      </c>
      <c r="H174" s="183"/>
      <c r="I174" s="183"/>
      <c r="J174" s="183"/>
      <c r="K174" s="335"/>
      <c r="L174" s="335"/>
      <c r="M174" s="335"/>
      <c r="N174" s="325"/>
      <c r="O174" s="183"/>
      <c r="P174" s="291">
        <v>17900</v>
      </c>
      <c r="Q174" s="183">
        <f t="shared" si="105"/>
        <v>50000</v>
      </c>
      <c r="R174" s="183">
        <v>50000</v>
      </c>
      <c r="S174" s="183"/>
      <c r="T174" s="37"/>
      <c r="U174" s="37"/>
      <c r="V174" s="37"/>
      <c r="W174" s="183"/>
      <c r="X174" s="320"/>
      <c r="Y174" s="320"/>
      <c r="Z174" s="353"/>
      <c r="AA174" s="37"/>
      <c r="AB174" s="183"/>
    </row>
    <row r="175" spans="1:28" ht="51" hidden="1" x14ac:dyDescent="0.2">
      <c r="A175" s="120" t="s">
        <v>502</v>
      </c>
      <c r="B175" s="94"/>
      <c r="C175" s="31"/>
      <c r="D175" s="187" t="s">
        <v>157</v>
      </c>
      <c r="E175" s="332" t="s">
        <v>163</v>
      </c>
      <c r="F175" s="331" t="s">
        <v>499</v>
      </c>
      <c r="G175" s="331" t="s">
        <v>501</v>
      </c>
      <c r="H175" s="183"/>
      <c r="I175" s="183"/>
      <c r="J175" s="183"/>
      <c r="K175" s="335"/>
      <c r="L175" s="335"/>
      <c r="M175" s="335"/>
      <c r="N175" s="325"/>
      <c r="O175" s="183"/>
      <c r="P175" s="291">
        <v>8337390.1699999999</v>
      </c>
      <c r="Q175" s="183">
        <f t="shared" si="105"/>
        <v>0</v>
      </c>
      <c r="R175" s="183"/>
      <c r="S175" s="183"/>
      <c r="T175" s="37"/>
      <c r="U175" s="37"/>
      <c r="V175" s="37"/>
      <c r="W175" s="183"/>
      <c r="X175" s="320"/>
      <c r="Y175" s="320"/>
      <c r="Z175" s="353"/>
      <c r="AA175" s="37">
        <v>0</v>
      </c>
      <c r="AB175" s="183"/>
    </row>
    <row r="176" spans="1:28" ht="38.25" hidden="1" x14ac:dyDescent="0.2">
      <c r="A176" s="120" t="s">
        <v>503</v>
      </c>
      <c r="B176" s="94"/>
      <c r="C176" s="31"/>
      <c r="D176" s="187" t="s">
        <v>157</v>
      </c>
      <c r="E176" s="332" t="s">
        <v>163</v>
      </c>
      <c r="F176" s="331" t="s">
        <v>499</v>
      </c>
      <c r="G176" s="331" t="s">
        <v>164</v>
      </c>
      <c r="H176" s="183"/>
      <c r="I176" s="183"/>
      <c r="J176" s="183"/>
      <c r="K176" s="335"/>
      <c r="L176" s="335"/>
      <c r="M176" s="335"/>
      <c r="N176" s="325"/>
      <c r="O176" s="183"/>
      <c r="P176" s="291">
        <v>64687</v>
      </c>
      <c r="Q176" s="183">
        <f t="shared" si="105"/>
        <v>0</v>
      </c>
      <c r="R176" s="183"/>
      <c r="S176" s="183"/>
      <c r="T176" s="37"/>
      <c r="U176" s="37"/>
      <c r="V176" s="37"/>
      <c r="W176" s="183"/>
      <c r="X176" s="320"/>
      <c r="Y176" s="320"/>
      <c r="Z176" s="353"/>
      <c r="AA176" s="37">
        <v>0</v>
      </c>
      <c r="AB176" s="183"/>
    </row>
    <row r="177" spans="1:29" ht="38.25" hidden="1" x14ac:dyDescent="0.2">
      <c r="A177" s="120" t="s">
        <v>505</v>
      </c>
      <c r="B177" s="94"/>
      <c r="C177" s="31"/>
      <c r="D177" s="187" t="s">
        <v>157</v>
      </c>
      <c r="E177" s="332" t="s">
        <v>163</v>
      </c>
      <c r="F177" s="331" t="s">
        <v>499</v>
      </c>
      <c r="G177" s="331" t="s">
        <v>69</v>
      </c>
      <c r="H177" s="183"/>
      <c r="I177" s="183"/>
      <c r="J177" s="183"/>
      <c r="K177" s="335"/>
      <c r="L177" s="335"/>
      <c r="M177" s="335"/>
      <c r="N177" s="325"/>
      <c r="O177" s="183"/>
      <c r="P177" s="291">
        <v>0</v>
      </c>
      <c r="Q177" s="183">
        <f t="shared" si="105"/>
        <v>0</v>
      </c>
      <c r="R177" s="183"/>
      <c r="S177" s="183"/>
      <c r="T177" s="37"/>
      <c r="U177" s="37"/>
      <c r="V177" s="37"/>
      <c r="W177" s="183">
        <f t="shared" si="103"/>
        <v>0</v>
      </c>
      <c r="X177" s="320"/>
      <c r="Y177" s="320">
        <f>3321022.83+113219.42</f>
        <v>3434242.25</v>
      </c>
      <c r="Z177" s="353"/>
      <c r="AA177" s="37">
        <f>3321022.83+113219.42</f>
        <v>3434242.25</v>
      </c>
      <c r="AB177" s="183">
        <f t="shared" si="104"/>
        <v>0</v>
      </c>
    </row>
    <row r="178" spans="1:29" hidden="1" x14ac:dyDescent="0.2">
      <c r="A178" s="120" t="s">
        <v>520</v>
      </c>
      <c r="B178" s="94"/>
      <c r="C178" s="31"/>
      <c r="D178" s="187" t="s">
        <v>157</v>
      </c>
      <c r="E178" s="332" t="s">
        <v>124</v>
      </c>
      <c r="F178" s="331" t="s">
        <v>496</v>
      </c>
      <c r="G178" s="331" t="s">
        <v>122</v>
      </c>
      <c r="H178" s="183"/>
      <c r="I178" s="183"/>
      <c r="J178" s="183"/>
      <c r="K178" s="335"/>
      <c r="L178" s="335"/>
      <c r="M178" s="335"/>
      <c r="N178" s="325"/>
      <c r="O178" s="183"/>
      <c r="P178" s="291">
        <v>50000</v>
      </c>
      <c r="Q178" s="183">
        <f t="shared" si="105"/>
        <v>0</v>
      </c>
      <c r="R178" s="183"/>
      <c r="S178" s="183"/>
      <c r="T178" s="37"/>
      <c r="U178" s="37"/>
      <c r="V178" s="37"/>
      <c r="W178" s="183"/>
      <c r="X178" s="320"/>
      <c r="Y178" s="320"/>
      <c r="Z178" s="353"/>
      <c r="AA178" s="37"/>
      <c r="AB178" s="183"/>
    </row>
    <row r="179" spans="1:29" hidden="1" x14ac:dyDescent="0.2">
      <c r="A179" s="120" t="s">
        <v>520</v>
      </c>
      <c r="B179" s="94"/>
      <c r="C179" s="31"/>
      <c r="D179" s="187" t="s">
        <v>157</v>
      </c>
      <c r="E179" s="332" t="s">
        <v>124</v>
      </c>
      <c r="F179" s="331" t="s">
        <v>496</v>
      </c>
      <c r="G179" s="331" t="s">
        <v>69</v>
      </c>
      <c r="H179" s="183"/>
      <c r="I179" s="183"/>
      <c r="J179" s="183"/>
      <c r="K179" s="335"/>
      <c r="L179" s="335"/>
      <c r="M179" s="335"/>
      <c r="N179" s="325"/>
      <c r="O179" s="183"/>
      <c r="P179" s="291">
        <v>50000</v>
      </c>
      <c r="Q179" s="183">
        <f t="shared" si="105"/>
        <v>-50000</v>
      </c>
      <c r="R179" s="183">
        <v>-50000</v>
      </c>
      <c r="S179" s="183"/>
      <c r="T179" s="37"/>
      <c r="U179" s="37"/>
      <c r="V179" s="37"/>
      <c r="W179" s="183">
        <f>P179+Q179</f>
        <v>0</v>
      </c>
      <c r="X179" s="320"/>
      <c r="Y179" s="320"/>
      <c r="Z179" s="353"/>
      <c r="AA179" s="37"/>
      <c r="AB179" s="183">
        <f>U179+V179</f>
        <v>0</v>
      </c>
    </row>
    <row r="180" spans="1:29" x14ac:dyDescent="0.2">
      <c r="A180" s="59" t="s">
        <v>415</v>
      </c>
      <c r="B180" s="114">
        <v>804</v>
      </c>
      <c r="C180" s="36" t="s">
        <v>137</v>
      </c>
      <c r="D180" s="36" t="s">
        <v>506</v>
      </c>
      <c r="E180" s="77" t="s">
        <v>46</v>
      </c>
      <c r="F180" s="36" t="s">
        <v>58</v>
      </c>
      <c r="G180" s="36" t="s">
        <v>64</v>
      </c>
      <c r="H180" s="78">
        <f>H181</f>
        <v>0</v>
      </c>
      <c r="I180" s="78"/>
      <c r="J180" s="78"/>
      <c r="K180" s="79"/>
      <c r="L180" s="79"/>
      <c r="M180" s="79"/>
      <c r="N180" s="121"/>
      <c r="O180" s="78">
        <f>O181</f>
        <v>0</v>
      </c>
      <c r="P180" s="294">
        <v>112016</v>
      </c>
      <c r="Q180" s="37">
        <f t="shared" si="105"/>
        <v>0</v>
      </c>
      <c r="R180" s="78"/>
      <c r="S180" s="78"/>
      <c r="T180" s="78"/>
      <c r="U180" s="78">
        <v>0</v>
      </c>
      <c r="V180" s="78"/>
      <c r="W180" s="183">
        <v>130786</v>
      </c>
      <c r="X180" s="320"/>
      <c r="Y180" s="320"/>
      <c r="Z180" s="353"/>
      <c r="AA180" s="78">
        <v>0</v>
      </c>
      <c r="AB180" s="183">
        <v>130786</v>
      </c>
    </row>
    <row r="181" spans="1:29" ht="25.5" hidden="1" x14ac:dyDescent="0.2">
      <c r="A181" s="95" t="s">
        <v>133</v>
      </c>
      <c r="B181" s="47"/>
      <c r="C181" s="14"/>
      <c r="D181" s="36"/>
      <c r="E181" s="15"/>
      <c r="F181" s="14"/>
      <c r="G181" s="14" t="s">
        <v>79</v>
      </c>
      <c r="H181" s="81">
        <v>0</v>
      </c>
      <c r="I181" s="37"/>
      <c r="J181" s="37"/>
      <c r="K181" s="38"/>
      <c r="L181" s="38"/>
      <c r="M181" s="38"/>
      <c r="N181" s="39"/>
      <c r="O181" s="81">
        <v>0</v>
      </c>
      <c r="P181" s="283">
        <v>0</v>
      </c>
      <c r="Q181" s="37">
        <f>R181+S181+T181+U181</f>
        <v>0</v>
      </c>
      <c r="R181" s="81"/>
      <c r="S181" s="81"/>
      <c r="T181" s="81"/>
      <c r="U181" s="81"/>
      <c r="V181" s="81"/>
      <c r="W181" s="183">
        <f t="shared" si="103"/>
        <v>0</v>
      </c>
      <c r="X181" s="320"/>
      <c r="Y181" s="320"/>
      <c r="Z181" s="353"/>
      <c r="AA181" s="81"/>
      <c r="AB181" s="37">
        <f t="shared" si="104"/>
        <v>0</v>
      </c>
    </row>
    <row r="182" spans="1:29" ht="38.25" hidden="1" x14ac:dyDescent="0.2">
      <c r="A182" s="95" t="s">
        <v>165</v>
      </c>
      <c r="B182" s="114">
        <v>804</v>
      </c>
      <c r="C182" s="36" t="s">
        <v>137</v>
      </c>
      <c r="D182" s="36" t="s">
        <v>506</v>
      </c>
      <c r="E182" s="77" t="s">
        <v>46</v>
      </c>
      <c r="F182" s="36" t="s">
        <v>66</v>
      </c>
      <c r="G182" s="36" t="s">
        <v>166</v>
      </c>
      <c r="H182" s="81"/>
      <c r="I182" s="37"/>
      <c r="J182" s="37"/>
      <c r="K182" s="38"/>
      <c r="L182" s="38"/>
      <c r="M182" s="38"/>
      <c r="N182" s="39"/>
      <c r="O182" s="81"/>
      <c r="P182" s="283">
        <v>0</v>
      </c>
      <c r="Q182" s="37">
        <f>R182+S182+T182+U182</f>
        <v>0</v>
      </c>
      <c r="R182" s="81"/>
      <c r="S182" s="78"/>
      <c r="T182" s="78"/>
      <c r="U182" s="78"/>
      <c r="V182" s="78"/>
      <c r="W182" s="183">
        <f t="shared" si="103"/>
        <v>0</v>
      </c>
      <c r="X182" s="320"/>
      <c r="Y182" s="320"/>
      <c r="Z182" s="353"/>
      <c r="AA182" s="81"/>
      <c r="AB182" s="37">
        <f t="shared" si="104"/>
        <v>0</v>
      </c>
    </row>
    <row r="183" spans="1:29" ht="25.5" x14ac:dyDescent="0.2">
      <c r="A183" s="95" t="s">
        <v>156</v>
      </c>
      <c r="B183" s="114">
        <v>804</v>
      </c>
      <c r="C183" s="36" t="s">
        <v>137</v>
      </c>
      <c r="D183" s="36" t="s">
        <v>506</v>
      </c>
      <c r="E183" s="77" t="s">
        <v>46</v>
      </c>
      <c r="F183" s="36" t="s">
        <v>496</v>
      </c>
      <c r="G183" s="36" t="s">
        <v>68</v>
      </c>
      <c r="H183" s="81"/>
      <c r="I183" s="37"/>
      <c r="J183" s="37"/>
      <c r="K183" s="38"/>
      <c r="L183" s="38"/>
      <c r="M183" s="38"/>
      <c r="N183" s="39"/>
      <c r="O183" s="81"/>
      <c r="P183" s="378">
        <v>54984</v>
      </c>
      <c r="Q183" s="183">
        <f>R183+S183+T183+U183+V183</f>
        <v>0</v>
      </c>
      <c r="R183" s="81"/>
      <c r="S183" s="78"/>
      <c r="T183" s="78"/>
      <c r="U183" s="78"/>
      <c r="V183" s="78"/>
      <c r="W183" s="183">
        <v>54984</v>
      </c>
      <c r="X183" s="320"/>
      <c r="Y183" s="320"/>
      <c r="Z183" s="353"/>
      <c r="AA183" s="81"/>
      <c r="AB183" s="37">
        <v>54984</v>
      </c>
    </row>
    <row r="184" spans="1:29" ht="25.5" x14ac:dyDescent="0.2">
      <c r="A184" s="95" t="s">
        <v>156</v>
      </c>
      <c r="B184" s="114"/>
      <c r="C184" s="36"/>
      <c r="D184" s="36"/>
      <c r="E184" s="77" t="s">
        <v>161</v>
      </c>
      <c r="F184" s="36" t="s">
        <v>496</v>
      </c>
      <c r="G184" s="36" t="s">
        <v>69</v>
      </c>
      <c r="H184" s="81"/>
      <c r="I184" s="37"/>
      <c r="J184" s="37"/>
      <c r="K184" s="38"/>
      <c r="L184" s="38"/>
      <c r="M184" s="38"/>
      <c r="N184" s="39"/>
      <c r="O184" s="81"/>
      <c r="P184" s="378">
        <v>24000</v>
      </c>
      <c r="Q184" s="183">
        <f>R184+S184+T184+U184+V184</f>
        <v>0</v>
      </c>
      <c r="R184" s="81"/>
      <c r="S184" s="78"/>
      <c r="T184" s="78"/>
      <c r="U184" s="78"/>
      <c r="V184" s="78"/>
      <c r="W184" s="183">
        <v>24000</v>
      </c>
      <c r="X184" s="320"/>
      <c r="Y184" s="320"/>
      <c r="Z184" s="353"/>
      <c r="AA184" s="81"/>
      <c r="AB184" s="37">
        <v>24000</v>
      </c>
    </row>
    <row r="185" spans="1:29" ht="38.25" hidden="1" x14ac:dyDescent="0.2">
      <c r="A185" s="54" t="s">
        <v>469</v>
      </c>
      <c r="B185" s="108">
        <v>804</v>
      </c>
      <c r="C185" s="49" t="s">
        <v>137</v>
      </c>
      <c r="D185" s="49" t="s">
        <v>468</v>
      </c>
      <c r="E185" s="50" t="s">
        <v>46</v>
      </c>
      <c r="F185" s="49" t="s">
        <v>58</v>
      </c>
      <c r="G185" s="49" t="s">
        <v>64</v>
      </c>
      <c r="H185" s="155"/>
      <c r="I185" s="51"/>
      <c r="J185" s="51"/>
      <c r="K185" s="52"/>
      <c r="L185" s="52"/>
      <c r="M185" s="52"/>
      <c r="N185" s="53"/>
      <c r="O185" s="155"/>
      <c r="P185" s="350">
        <v>99000</v>
      </c>
      <c r="Q185" s="51">
        <f>R185+S185+T185+U185+V185</f>
        <v>0</v>
      </c>
      <c r="R185" s="155"/>
      <c r="S185" s="51"/>
      <c r="T185" s="51"/>
      <c r="U185" s="51"/>
      <c r="V185" s="51"/>
      <c r="W185" s="51">
        <v>0</v>
      </c>
      <c r="X185" s="320"/>
      <c r="Y185" s="320"/>
      <c r="Z185" s="353"/>
      <c r="AA185" s="155">
        <v>0</v>
      </c>
      <c r="AB185" s="51">
        <v>0</v>
      </c>
    </row>
    <row r="186" spans="1:29" x14ac:dyDescent="0.2">
      <c r="A186" s="17" t="s">
        <v>167</v>
      </c>
      <c r="B186" s="18"/>
      <c r="C186" s="19" t="s">
        <v>168</v>
      </c>
      <c r="D186" s="19" t="s">
        <v>18</v>
      </c>
      <c r="E186" s="20" t="s">
        <v>19</v>
      </c>
      <c r="F186" s="19"/>
      <c r="G186" s="19"/>
      <c r="H186" s="21">
        <f t="shared" ref="H186:V187" si="106">H187</f>
        <v>452300</v>
      </c>
      <c r="I186" s="21">
        <f t="shared" si="106"/>
        <v>0</v>
      </c>
      <c r="J186" s="21">
        <f t="shared" si="106"/>
        <v>0</v>
      </c>
      <c r="K186" s="122">
        <f t="shared" si="106"/>
        <v>0</v>
      </c>
      <c r="L186" s="122">
        <f t="shared" si="106"/>
        <v>0</v>
      </c>
      <c r="M186" s="122">
        <f t="shared" si="106"/>
        <v>0</v>
      </c>
      <c r="N186" s="123">
        <f t="shared" si="106"/>
        <v>452300</v>
      </c>
      <c r="O186" s="21">
        <f t="shared" si="106"/>
        <v>399800</v>
      </c>
      <c r="P186" s="279">
        <f>P187</f>
        <v>501099.99999999994</v>
      </c>
      <c r="Q186" s="279">
        <f t="shared" si="106"/>
        <v>0</v>
      </c>
      <c r="R186" s="279">
        <f>R187</f>
        <v>0</v>
      </c>
      <c r="S186" s="279">
        <f t="shared" si="106"/>
        <v>0</v>
      </c>
      <c r="T186" s="279">
        <f t="shared" si="106"/>
        <v>0</v>
      </c>
      <c r="U186" s="279">
        <f t="shared" si="106"/>
        <v>0</v>
      </c>
      <c r="V186" s="279">
        <f t="shared" si="106"/>
        <v>0</v>
      </c>
      <c r="W186" s="279">
        <f>W187</f>
        <v>522400</v>
      </c>
      <c r="X186" s="320"/>
      <c r="Y186" s="320"/>
      <c r="Z186" s="353"/>
      <c r="AA186" s="279">
        <f>AA187</f>
        <v>0</v>
      </c>
      <c r="AB186" s="279">
        <f>AB187</f>
        <v>522400</v>
      </c>
    </row>
    <row r="187" spans="1:29" x14ac:dyDescent="0.2">
      <c r="A187" s="124" t="s">
        <v>169</v>
      </c>
      <c r="B187" s="94">
        <v>804</v>
      </c>
      <c r="C187" s="31" t="s">
        <v>170</v>
      </c>
      <c r="D187" s="31" t="s">
        <v>171</v>
      </c>
      <c r="E187" s="32" t="s">
        <v>19</v>
      </c>
      <c r="F187" s="31"/>
      <c r="G187" s="14"/>
      <c r="H187" s="33">
        <f t="shared" si="106"/>
        <v>452300</v>
      </c>
      <c r="I187" s="33">
        <f t="shared" si="106"/>
        <v>0</v>
      </c>
      <c r="J187" s="33">
        <f t="shared" si="106"/>
        <v>0</v>
      </c>
      <c r="K187" s="34">
        <f t="shared" si="106"/>
        <v>0</v>
      </c>
      <c r="L187" s="34">
        <f t="shared" si="106"/>
        <v>0</v>
      </c>
      <c r="M187" s="34">
        <f t="shared" si="106"/>
        <v>0</v>
      </c>
      <c r="N187" s="35">
        <f t="shared" si="106"/>
        <v>452300</v>
      </c>
      <c r="O187" s="33">
        <f t="shared" si="106"/>
        <v>399800</v>
      </c>
      <c r="P187" s="281">
        <f>P188</f>
        <v>501099.99999999994</v>
      </c>
      <c r="Q187" s="281">
        <f>Q188</f>
        <v>0</v>
      </c>
      <c r="R187" s="281">
        <f>R188</f>
        <v>0</v>
      </c>
      <c r="S187" s="33">
        <f>S188</f>
        <v>0</v>
      </c>
      <c r="T187" s="33">
        <f>T188</f>
        <v>0</v>
      </c>
      <c r="U187" s="33">
        <f t="shared" si="106"/>
        <v>0</v>
      </c>
      <c r="V187" s="33">
        <f t="shared" si="106"/>
        <v>0</v>
      </c>
      <c r="W187" s="37">
        <f>W188</f>
        <v>522400</v>
      </c>
      <c r="X187" s="320"/>
      <c r="Y187" s="320"/>
      <c r="Z187" s="353"/>
      <c r="AA187" s="33"/>
      <c r="AB187" s="37">
        <f>AB188</f>
        <v>522400</v>
      </c>
    </row>
    <row r="188" spans="1:29" x14ac:dyDescent="0.2">
      <c r="A188" s="22" t="s">
        <v>172</v>
      </c>
      <c r="B188" s="23">
        <v>804</v>
      </c>
      <c r="C188" s="24" t="s">
        <v>170</v>
      </c>
      <c r="D188" s="24" t="s">
        <v>171</v>
      </c>
      <c r="E188" s="25" t="s">
        <v>19</v>
      </c>
      <c r="F188" s="24"/>
      <c r="G188" s="24"/>
      <c r="H188" s="26">
        <f t="shared" ref="H188:N188" si="107">H189+H196+H204</f>
        <v>452300</v>
      </c>
      <c r="I188" s="26">
        <f t="shared" si="107"/>
        <v>0</v>
      </c>
      <c r="J188" s="26">
        <f t="shared" si="107"/>
        <v>0</v>
      </c>
      <c r="K188" s="27">
        <f t="shared" si="107"/>
        <v>0</v>
      </c>
      <c r="L188" s="27">
        <f t="shared" si="107"/>
        <v>0</v>
      </c>
      <c r="M188" s="27">
        <f t="shared" si="107"/>
        <v>0</v>
      </c>
      <c r="N188" s="28">
        <f t="shared" si="107"/>
        <v>452300</v>
      </c>
      <c r="O188" s="26">
        <f>O189+O196+O204</f>
        <v>399800</v>
      </c>
      <c r="P188" s="280">
        <f t="shared" ref="P188:V188" si="108">P189+P196+P209+P210+P211</f>
        <v>501099.99999999994</v>
      </c>
      <c r="Q188" s="280">
        <f t="shared" si="108"/>
        <v>0</v>
      </c>
      <c r="R188" s="280">
        <f t="shared" si="108"/>
        <v>0</v>
      </c>
      <c r="S188" s="280">
        <f t="shared" si="108"/>
        <v>0</v>
      </c>
      <c r="T188" s="280">
        <f t="shared" si="108"/>
        <v>0</v>
      </c>
      <c r="U188" s="280">
        <f t="shared" si="108"/>
        <v>0</v>
      </c>
      <c r="V188" s="280">
        <f t="shared" si="108"/>
        <v>0</v>
      </c>
      <c r="W188" s="280">
        <f>W189+W196+W210+W211</f>
        <v>522400</v>
      </c>
      <c r="X188" s="320"/>
      <c r="Y188" s="320"/>
      <c r="Z188" s="353"/>
      <c r="AA188" s="280">
        <f>AA189+AA210+AA211+AA209</f>
        <v>0</v>
      </c>
      <c r="AB188" s="280">
        <f>AB189+AB196+AB210+AB211</f>
        <v>522400</v>
      </c>
      <c r="AC188" s="43"/>
    </row>
    <row r="189" spans="1:29" ht="25.5" x14ac:dyDescent="0.2">
      <c r="A189" s="29" t="s">
        <v>24</v>
      </c>
      <c r="B189" s="94">
        <v>804</v>
      </c>
      <c r="C189" s="31" t="s">
        <v>170</v>
      </c>
      <c r="D189" s="31" t="s">
        <v>171</v>
      </c>
      <c r="E189" s="32" t="s">
        <v>19</v>
      </c>
      <c r="F189" s="31" t="s">
        <v>25</v>
      </c>
      <c r="G189" s="31"/>
      <c r="H189" s="33">
        <f t="shared" ref="H189:V189" si="109">H190+H191+H195</f>
        <v>452300</v>
      </c>
      <c r="I189" s="33">
        <f t="shared" si="109"/>
        <v>0</v>
      </c>
      <c r="J189" s="33">
        <f t="shared" si="109"/>
        <v>0</v>
      </c>
      <c r="K189" s="34">
        <f t="shared" si="109"/>
        <v>0</v>
      </c>
      <c r="L189" s="34">
        <f t="shared" si="109"/>
        <v>0</v>
      </c>
      <c r="M189" s="34">
        <f t="shared" si="109"/>
        <v>0</v>
      </c>
      <c r="N189" s="35">
        <f t="shared" si="109"/>
        <v>452300</v>
      </c>
      <c r="O189" s="33">
        <f t="shared" si="109"/>
        <v>399800</v>
      </c>
      <c r="P189" s="281">
        <f>P190+P191+P195</f>
        <v>453691.98</v>
      </c>
      <c r="Q189" s="281">
        <f>Q190+Q191+Q195</f>
        <v>0</v>
      </c>
      <c r="R189" s="281">
        <f t="shared" si="109"/>
        <v>0</v>
      </c>
      <c r="S189" s="281">
        <f t="shared" si="109"/>
        <v>0</v>
      </c>
      <c r="T189" s="281">
        <f t="shared" si="109"/>
        <v>0</v>
      </c>
      <c r="U189" s="281">
        <f t="shared" si="109"/>
        <v>0</v>
      </c>
      <c r="V189" s="281">
        <f t="shared" si="109"/>
        <v>0</v>
      </c>
      <c r="W189" s="285">
        <f>W190+W191+W195</f>
        <v>512430</v>
      </c>
      <c r="X189" s="320"/>
      <c r="Y189" s="320"/>
      <c r="Z189" s="353"/>
      <c r="AA189" s="281">
        <f>AA190+AA191+AA195</f>
        <v>0</v>
      </c>
      <c r="AB189" s="281">
        <f>AB190+AB191+AB195</f>
        <v>512430</v>
      </c>
    </row>
    <row r="190" spans="1:29" x14ac:dyDescent="0.2">
      <c r="A190" s="12" t="s">
        <v>26</v>
      </c>
      <c r="B190" s="113">
        <v>804</v>
      </c>
      <c r="C190" s="14" t="s">
        <v>170</v>
      </c>
      <c r="D190" s="36"/>
      <c r="E190" s="15" t="s">
        <v>23</v>
      </c>
      <c r="F190" s="14" t="s">
        <v>27</v>
      </c>
      <c r="G190" s="14" t="s">
        <v>486</v>
      </c>
      <c r="H190" s="37">
        <f>452300-H195</f>
        <v>347888</v>
      </c>
      <c r="I190" s="37">
        <f>SUM(J190:M190)</f>
        <v>0</v>
      </c>
      <c r="J190" s="37"/>
      <c r="K190" s="38"/>
      <c r="L190" s="38"/>
      <c r="M190" s="38"/>
      <c r="N190" s="39">
        <f>H190+I190</f>
        <v>347888</v>
      </c>
      <c r="O190" s="37">
        <v>307065.57</v>
      </c>
      <c r="P190" s="60">
        <v>344182.5</v>
      </c>
      <c r="Q190" s="37">
        <f>R190+S190+T190+U190+V190</f>
        <v>0</v>
      </c>
      <c r="R190" s="37"/>
      <c r="S190" s="37"/>
      <c r="T190" s="37"/>
      <c r="U190" s="37"/>
      <c r="V190" s="37"/>
      <c r="W190" s="183">
        <v>344182.5</v>
      </c>
      <c r="X190" s="320"/>
      <c r="Y190" s="320"/>
      <c r="Z190" s="353"/>
      <c r="AA190" s="37">
        <v>0</v>
      </c>
      <c r="AB190" s="37">
        <v>344182.5</v>
      </c>
    </row>
    <row r="191" spans="1:29" x14ac:dyDescent="0.2">
      <c r="A191" s="12" t="s">
        <v>36</v>
      </c>
      <c r="B191" s="113">
        <v>804</v>
      </c>
      <c r="C191" s="14" t="s">
        <v>170</v>
      </c>
      <c r="D191" s="36"/>
      <c r="E191" s="15" t="s">
        <v>84</v>
      </c>
      <c r="F191" s="14" t="s">
        <v>85</v>
      </c>
      <c r="G191" s="14"/>
      <c r="H191" s="81">
        <f>H192+H193+H194</f>
        <v>0</v>
      </c>
      <c r="I191" s="81">
        <f t="shared" ref="I191:N191" si="110">I192+I193+I194</f>
        <v>0</v>
      </c>
      <c r="J191" s="81">
        <f t="shared" si="110"/>
        <v>0</v>
      </c>
      <c r="K191" s="82">
        <f t="shared" si="110"/>
        <v>0</v>
      </c>
      <c r="L191" s="82">
        <f t="shared" si="110"/>
        <v>0</v>
      </c>
      <c r="M191" s="82">
        <f t="shared" si="110"/>
        <v>0</v>
      </c>
      <c r="N191" s="125">
        <f t="shared" si="110"/>
        <v>0</v>
      </c>
      <c r="O191" s="81">
        <f>O192+O193+O194</f>
        <v>0</v>
      </c>
      <c r="P191" s="283">
        <f>P192+P193+P194</f>
        <v>850</v>
      </c>
      <c r="Q191" s="283">
        <f>Q192+Q193+Q194</f>
        <v>0</v>
      </c>
      <c r="R191" s="283">
        <f t="shared" ref="R191:W191" si="111">R192+R193+R194</f>
        <v>0</v>
      </c>
      <c r="S191" s="283">
        <f t="shared" si="111"/>
        <v>0</v>
      </c>
      <c r="T191" s="283">
        <f t="shared" si="111"/>
        <v>0</v>
      </c>
      <c r="U191" s="283">
        <f t="shared" si="111"/>
        <v>0</v>
      </c>
      <c r="V191" s="283">
        <f t="shared" si="111"/>
        <v>0</v>
      </c>
      <c r="W191" s="378">
        <f t="shared" si="111"/>
        <v>59588.02</v>
      </c>
      <c r="X191" s="320"/>
      <c r="Y191" s="320"/>
      <c r="Z191" s="353"/>
      <c r="AA191" s="81"/>
      <c r="AB191" s="283">
        <f t="shared" ref="AB191" si="112">AB192+AB193+AB194</f>
        <v>59588.02</v>
      </c>
    </row>
    <row r="192" spans="1:29" ht="25.5" hidden="1" x14ac:dyDescent="0.2">
      <c r="A192" s="44" t="s">
        <v>174</v>
      </c>
      <c r="B192" s="45"/>
      <c r="C192" s="14"/>
      <c r="D192" s="14"/>
      <c r="E192" s="15"/>
      <c r="F192" s="14"/>
      <c r="G192" s="14" t="s">
        <v>487</v>
      </c>
      <c r="H192" s="37">
        <v>0</v>
      </c>
      <c r="I192" s="37">
        <f>SUM(J192:M192)</f>
        <v>0</v>
      </c>
      <c r="J192" s="37">
        <v>0</v>
      </c>
      <c r="K192" s="38">
        <v>0</v>
      </c>
      <c r="L192" s="38">
        <v>0</v>
      </c>
      <c r="M192" s="38">
        <v>0</v>
      </c>
      <c r="N192" s="39">
        <f>H192+I192</f>
        <v>0</v>
      </c>
      <c r="O192" s="37">
        <v>0</v>
      </c>
      <c r="P192" s="60">
        <v>0</v>
      </c>
      <c r="Q192" s="37">
        <f>R192+S192+T192+U192+V192</f>
        <v>0</v>
      </c>
      <c r="R192" s="37"/>
      <c r="S192" s="37"/>
      <c r="T192" s="37"/>
      <c r="U192" s="37"/>
      <c r="V192" s="37"/>
      <c r="W192" s="183">
        <f>P192+Q192</f>
        <v>0</v>
      </c>
      <c r="X192" s="320"/>
      <c r="Y192" s="320"/>
      <c r="Z192" s="353"/>
      <c r="AA192" s="81"/>
      <c r="AB192" s="37">
        <f>U192+V192</f>
        <v>0</v>
      </c>
    </row>
    <row r="193" spans="1:28" hidden="1" x14ac:dyDescent="0.2">
      <c r="A193" s="44" t="s">
        <v>175</v>
      </c>
      <c r="B193" s="45"/>
      <c r="C193" s="14"/>
      <c r="D193" s="14"/>
      <c r="E193" s="15"/>
      <c r="F193" s="14"/>
      <c r="G193" s="14"/>
      <c r="H193" s="37">
        <v>0</v>
      </c>
      <c r="I193" s="37">
        <f>SUM(J193:M193)</f>
        <v>0</v>
      </c>
      <c r="J193" s="37">
        <v>0</v>
      </c>
      <c r="K193" s="38">
        <v>0</v>
      </c>
      <c r="L193" s="38">
        <v>0</v>
      </c>
      <c r="M193" s="38">
        <v>0</v>
      </c>
      <c r="N193" s="39">
        <v>0</v>
      </c>
      <c r="O193" s="37">
        <v>0</v>
      </c>
      <c r="P193" s="60">
        <v>0</v>
      </c>
      <c r="Q193" s="37">
        <f>R193+S193+T193+U193</f>
        <v>0</v>
      </c>
      <c r="R193" s="37"/>
      <c r="S193" s="37"/>
      <c r="T193" s="37"/>
      <c r="U193" s="37"/>
      <c r="V193" s="37"/>
      <c r="W193" s="183"/>
      <c r="X193" s="320"/>
      <c r="Y193" s="320"/>
      <c r="Z193" s="353"/>
      <c r="AA193" s="37"/>
      <c r="AB193" s="37"/>
    </row>
    <row r="194" spans="1:28" x14ac:dyDescent="0.2">
      <c r="A194" s="46" t="s">
        <v>386</v>
      </c>
      <c r="B194" s="47"/>
      <c r="C194" s="14"/>
      <c r="D194" s="14"/>
      <c r="E194" s="15"/>
      <c r="F194" s="14" t="s">
        <v>85</v>
      </c>
      <c r="G194" s="14" t="s">
        <v>509</v>
      </c>
      <c r="H194" s="37">
        <v>0</v>
      </c>
      <c r="I194" s="37">
        <f>SUM(J194:M194)</f>
        <v>0</v>
      </c>
      <c r="J194" s="37">
        <v>0</v>
      </c>
      <c r="K194" s="38">
        <v>0</v>
      </c>
      <c r="L194" s="38">
        <v>0</v>
      </c>
      <c r="M194" s="38">
        <v>0</v>
      </c>
      <c r="N194" s="39">
        <f>H194+I194</f>
        <v>0</v>
      </c>
      <c r="O194" s="37">
        <v>0</v>
      </c>
      <c r="P194" s="60">
        <v>850</v>
      </c>
      <c r="Q194" s="37">
        <f>R194+S194+T194+U194+V194</f>
        <v>0</v>
      </c>
      <c r="R194" s="37"/>
      <c r="S194" s="37"/>
      <c r="T194" s="37"/>
      <c r="U194" s="37"/>
      <c r="V194" s="37"/>
      <c r="W194" s="183">
        <v>59588.02</v>
      </c>
      <c r="X194" s="320"/>
      <c r="Y194" s="320"/>
      <c r="Z194" s="353"/>
      <c r="AA194" s="37"/>
      <c r="AB194" s="37">
        <v>59588.02</v>
      </c>
    </row>
    <row r="195" spans="1:28" x14ac:dyDescent="0.2">
      <c r="A195" s="12" t="s">
        <v>28</v>
      </c>
      <c r="B195" s="113">
        <v>804</v>
      </c>
      <c r="C195" s="14" t="s">
        <v>170</v>
      </c>
      <c r="D195" s="36"/>
      <c r="E195" s="15" t="s">
        <v>29</v>
      </c>
      <c r="F195" s="14" t="s">
        <v>30</v>
      </c>
      <c r="G195" s="14" t="s">
        <v>486</v>
      </c>
      <c r="H195" s="37">
        <v>104412</v>
      </c>
      <c r="I195" s="37"/>
      <c r="J195" s="37"/>
      <c r="K195" s="38"/>
      <c r="L195" s="38"/>
      <c r="M195" s="38"/>
      <c r="N195" s="39">
        <f>H195+I195</f>
        <v>104412</v>
      </c>
      <c r="O195" s="37">
        <v>92734.43</v>
      </c>
      <c r="P195" s="60">
        <v>108659.48</v>
      </c>
      <c r="Q195" s="37">
        <f>R195+S195+T195+U195+V195</f>
        <v>0</v>
      </c>
      <c r="R195" s="37"/>
      <c r="S195" s="37"/>
      <c r="T195" s="37"/>
      <c r="U195" s="37"/>
      <c r="V195" s="37"/>
      <c r="W195" s="183">
        <v>108659.48</v>
      </c>
      <c r="X195" s="320"/>
      <c r="Y195" s="320"/>
      <c r="Z195" s="353"/>
      <c r="AA195" s="37">
        <v>0</v>
      </c>
      <c r="AB195" s="37">
        <v>108659.48</v>
      </c>
    </row>
    <row r="196" spans="1:28" hidden="1" x14ac:dyDescent="0.2">
      <c r="A196" s="29" t="s">
        <v>41</v>
      </c>
      <c r="B196" s="94">
        <v>804</v>
      </c>
      <c r="C196" s="31" t="s">
        <v>170</v>
      </c>
      <c r="D196" s="31" t="s">
        <v>171</v>
      </c>
      <c r="E196" s="32" t="s">
        <v>46</v>
      </c>
      <c r="F196" s="31" t="s">
        <v>42</v>
      </c>
      <c r="G196" s="31"/>
      <c r="H196" s="33">
        <f t="shared" ref="H196:N196" si="113">H197+H198+H201</f>
        <v>0</v>
      </c>
      <c r="I196" s="33">
        <f t="shared" si="113"/>
        <v>0</v>
      </c>
      <c r="J196" s="33">
        <f t="shared" si="113"/>
        <v>0</v>
      </c>
      <c r="K196" s="34">
        <f t="shared" si="113"/>
        <v>0</v>
      </c>
      <c r="L196" s="34">
        <f t="shared" si="113"/>
        <v>0</v>
      </c>
      <c r="M196" s="34">
        <f t="shared" si="113"/>
        <v>0</v>
      </c>
      <c r="N196" s="35">
        <f t="shared" si="113"/>
        <v>0</v>
      </c>
      <c r="O196" s="33">
        <f>O197+O198+O201</f>
        <v>0</v>
      </c>
      <c r="P196" s="281">
        <f>P197+P198+P201</f>
        <v>26999.8</v>
      </c>
      <c r="Q196" s="37">
        <f>Q201</f>
        <v>0</v>
      </c>
      <c r="R196" s="37">
        <f t="shared" ref="R196:W196" si="114">R201</f>
        <v>0</v>
      </c>
      <c r="S196" s="37">
        <f t="shared" si="114"/>
        <v>0</v>
      </c>
      <c r="T196" s="37">
        <f t="shared" si="114"/>
        <v>0</v>
      </c>
      <c r="U196" s="37">
        <f t="shared" si="114"/>
        <v>0</v>
      </c>
      <c r="V196" s="37">
        <f t="shared" si="114"/>
        <v>0</v>
      </c>
      <c r="W196" s="183">
        <f t="shared" si="114"/>
        <v>0</v>
      </c>
      <c r="X196" s="320"/>
      <c r="Y196" s="320"/>
      <c r="Z196" s="353"/>
      <c r="AA196" s="33"/>
      <c r="AB196" s="37">
        <f t="shared" ref="AB196" si="115">AB201</f>
        <v>0</v>
      </c>
    </row>
    <row r="197" spans="1:28" hidden="1" x14ac:dyDescent="0.2">
      <c r="A197" s="12" t="s">
        <v>86</v>
      </c>
      <c r="B197" s="113">
        <v>804</v>
      </c>
      <c r="C197" s="14" t="s">
        <v>170</v>
      </c>
      <c r="D197" s="31" t="s">
        <v>171</v>
      </c>
      <c r="E197" s="15" t="s">
        <v>46</v>
      </c>
      <c r="F197" s="14" t="s">
        <v>45</v>
      </c>
      <c r="G197" s="14"/>
      <c r="H197" s="37">
        <v>0</v>
      </c>
      <c r="I197" s="37">
        <f>SUM(J197:M197)</f>
        <v>0</v>
      </c>
      <c r="J197" s="37">
        <v>0</v>
      </c>
      <c r="K197" s="38">
        <v>0</v>
      </c>
      <c r="L197" s="38">
        <v>0</v>
      </c>
      <c r="M197" s="38">
        <v>0</v>
      </c>
      <c r="N197" s="39">
        <f>H197+I197</f>
        <v>0</v>
      </c>
      <c r="O197" s="37">
        <v>0</v>
      </c>
      <c r="P197" s="60">
        <v>0</v>
      </c>
      <c r="Q197" s="37">
        <f>R197+S197+T197+U197</f>
        <v>0</v>
      </c>
      <c r="R197" s="37"/>
      <c r="S197" s="37"/>
      <c r="T197" s="37"/>
      <c r="U197" s="37"/>
      <c r="V197" s="37"/>
      <c r="W197" s="183">
        <f>P197+Q197</f>
        <v>0</v>
      </c>
      <c r="X197" s="320"/>
      <c r="Y197" s="320"/>
      <c r="Z197" s="353"/>
      <c r="AA197" s="37"/>
      <c r="AB197" s="37">
        <f>U197+V197</f>
        <v>0</v>
      </c>
    </row>
    <row r="198" spans="1:28" hidden="1" x14ac:dyDescent="0.2">
      <c r="A198" s="12" t="s">
        <v>47</v>
      </c>
      <c r="B198" s="113">
        <v>804</v>
      </c>
      <c r="C198" s="14" t="s">
        <v>170</v>
      </c>
      <c r="D198" s="31" t="s">
        <v>171</v>
      </c>
      <c r="E198" s="15" t="s">
        <v>46</v>
      </c>
      <c r="F198" s="14" t="s">
        <v>48</v>
      </c>
      <c r="G198" s="14"/>
      <c r="H198" s="37">
        <f t="shared" ref="H198:N198" si="116">H199+H200</f>
        <v>0</v>
      </c>
      <c r="I198" s="37">
        <f t="shared" si="116"/>
        <v>0</v>
      </c>
      <c r="J198" s="37">
        <f t="shared" si="116"/>
        <v>0</v>
      </c>
      <c r="K198" s="38">
        <f t="shared" si="116"/>
        <v>0</v>
      </c>
      <c r="L198" s="38">
        <f t="shared" si="116"/>
        <v>0</v>
      </c>
      <c r="M198" s="38">
        <f t="shared" si="116"/>
        <v>0</v>
      </c>
      <c r="N198" s="39">
        <f t="shared" si="116"/>
        <v>0</v>
      </c>
      <c r="O198" s="37">
        <f>O199+O200</f>
        <v>0</v>
      </c>
      <c r="P198" s="60">
        <f>P199+P200</f>
        <v>0</v>
      </c>
      <c r="Q198" s="37">
        <f>R198+S198+T198+U198</f>
        <v>0</v>
      </c>
      <c r="R198" s="37"/>
      <c r="S198" s="37"/>
      <c r="T198" s="37"/>
      <c r="U198" s="37"/>
      <c r="V198" s="37"/>
      <c r="W198" s="183">
        <f>P198+Q198</f>
        <v>0</v>
      </c>
      <c r="X198" s="320"/>
      <c r="Y198" s="320"/>
      <c r="Z198" s="353"/>
      <c r="AA198" s="37"/>
      <c r="AB198" s="37">
        <f>U198+V198</f>
        <v>0</v>
      </c>
    </row>
    <row r="199" spans="1:28" ht="25.5" hidden="1" x14ac:dyDescent="0.2">
      <c r="A199" s="44" t="s">
        <v>177</v>
      </c>
      <c r="B199" s="45"/>
      <c r="C199" s="14"/>
      <c r="D199" s="31" t="s">
        <v>171</v>
      </c>
      <c r="E199" s="15"/>
      <c r="F199" s="14"/>
      <c r="G199" s="14" t="s">
        <v>173</v>
      </c>
      <c r="H199" s="37">
        <v>0</v>
      </c>
      <c r="I199" s="37">
        <f>SUM(J199:M199)</f>
        <v>0</v>
      </c>
      <c r="J199" s="37">
        <v>0</v>
      </c>
      <c r="K199" s="38">
        <v>0</v>
      </c>
      <c r="L199" s="38">
        <v>0</v>
      </c>
      <c r="M199" s="38">
        <v>0</v>
      </c>
      <c r="N199" s="39">
        <f>H199+I199</f>
        <v>0</v>
      </c>
      <c r="O199" s="37">
        <v>0</v>
      </c>
      <c r="P199" s="60">
        <v>0</v>
      </c>
      <c r="Q199" s="37">
        <f>R199+S199+T199+U199</f>
        <v>0</v>
      </c>
      <c r="R199" s="37"/>
      <c r="S199" s="37"/>
      <c r="T199" s="37"/>
      <c r="U199" s="37"/>
      <c r="V199" s="37"/>
      <c r="W199" s="183">
        <f>P199+Q199</f>
        <v>0</v>
      </c>
      <c r="X199" s="320"/>
      <c r="Y199" s="320"/>
      <c r="Z199" s="353"/>
      <c r="AA199" s="37"/>
      <c r="AB199" s="37">
        <f>U199+V199</f>
        <v>0</v>
      </c>
    </row>
    <row r="200" spans="1:28" ht="38.25" hidden="1" x14ac:dyDescent="0.2">
      <c r="A200" s="12" t="s">
        <v>132</v>
      </c>
      <c r="B200" s="13"/>
      <c r="C200" s="14"/>
      <c r="D200" s="31" t="s">
        <v>171</v>
      </c>
      <c r="E200" s="15"/>
      <c r="F200" s="14"/>
      <c r="G200" s="14"/>
      <c r="H200" s="37">
        <v>0</v>
      </c>
      <c r="I200" s="37">
        <f>SUM(J200:M200)</f>
        <v>0</v>
      </c>
      <c r="J200" s="37">
        <v>0</v>
      </c>
      <c r="K200" s="38">
        <v>0</v>
      </c>
      <c r="L200" s="38">
        <v>0</v>
      </c>
      <c r="M200" s="38">
        <v>0</v>
      </c>
      <c r="N200" s="39">
        <f>H200+I200</f>
        <v>0</v>
      </c>
      <c r="O200" s="37">
        <v>0</v>
      </c>
      <c r="P200" s="60">
        <v>0</v>
      </c>
      <c r="Q200" s="37">
        <f>R200+S200+T200+U200</f>
        <v>0</v>
      </c>
      <c r="R200" s="37"/>
      <c r="S200" s="37"/>
      <c r="T200" s="37"/>
      <c r="U200" s="37"/>
      <c r="V200" s="37"/>
      <c r="W200" s="183">
        <f>P200+Q200</f>
        <v>0</v>
      </c>
      <c r="X200" s="320"/>
      <c r="Y200" s="320"/>
      <c r="Z200" s="353"/>
      <c r="AA200" s="37"/>
      <c r="AB200" s="37">
        <f>U200+V200</f>
        <v>0</v>
      </c>
    </row>
    <row r="201" spans="1:28" hidden="1" x14ac:dyDescent="0.2">
      <c r="A201" s="12" t="s">
        <v>57</v>
      </c>
      <c r="B201" s="113">
        <v>804</v>
      </c>
      <c r="C201" s="14" t="s">
        <v>170</v>
      </c>
      <c r="D201" s="36" t="s">
        <v>171</v>
      </c>
      <c r="E201" s="15" t="s">
        <v>46</v>
      </c>
      <c r="F201" s="14" t="s">
        <v>58</v>
      </c>
      <c r="G201" s="14"/>
      <c r="H201" s="37">
        <f t="shared" ref="H201:O201" si="117">H202</f>
        <v>0</v>
      </c>
      <c r="I201" s="37">
        <f t="shared" si="117"/>
        <v>0</v>
      </c>
      <c r="J201" s="37">
        <f t="shared" si="117"/>
        <v>0</v>
      </c>
      <c r="K201" s="38">
        <f t="shared" si="117"/>
        <v>0</v>
      </c>
      <c r="L201" s="38">
        <f t="shared" si="117"/>
        <v>0</v>
      </c>
      <c r="M201" s="38">
        <f t="shared" si="117"/>
        <v>0</v>
      </c>
      <c r="N201" s="39">
        <f t="shared" si="117"/>
        <v>0</v>
      </c>
      <c r="O201" s="37">
        <f t="shared" si="117"/>
        <v>0</v>
      </c>
      <c r="P201" s="60">
        <f>P202+P203</f>
        <v>26999.8</v>
      </c>
      <c r="Q201" s="60">
        <f t="shared" ref="Q201:W201" si="118">Q202+Q203</f>
        <v>0</v>
      </c>
      <c r="R201" s="60">
        <f t="shared" si="118"/>
        <v>0</v>
      </c>
      <c r="S201" s="60">
        <f t="shared" si="118"/>
        <v>0</v>
      </c>
      <c r="T201" s="60">
        <f t="shared" si="118"/>
        <v>0</v>
      </c>
      <c r="U201" s="60">
        <f t="shared" si="118"/>
        <v>0</v>
      </c>
      <c r="V201" s="60">
        <f t="shared" si="118"/>
        <v>0</v>
      </c>
      <c r="W201" s="291">
        <f t="shared" si="118"/>
        <v>0</v>
      </c>
      <c r="X201" s="320"/>
      <c r="Y201" s="320"/>
      <c r="Z201" s="353"/>
      <c r="AA201" s="37"/>
      <c r="AB201" s="60">
        <f t="shared" ref="AB201" si="119">AB202+AB203</f>
        <v>0</v>
      </c>
    </row>
    <row r="202" spans="1:28" ht="38.25" hidden="1" x14ac:dyDescent="0.2">
      <c r="A202" s="44" t="s">
        <v>178</v>
      </c>
      <c r="B202" s="45"/>
      <c r="C202" s="14"/>
      <c r="D202" s="14"/>
      <c r="E202" s="15"/>
      <c r="F202" s="14"/>
      <c r="G202" s="14" t="s">
        <v>509</v>
      </c>
      <c r="H202" s="37">
        <v>0</v>
      </c>
      <c r="I202" s="37">
        <f>SUM(J202:M202)</f>
        <v>0</v>
      </c>
      <c r="J202" s="37">
        <v>0</v>
      </c>
      <c r="K202" s="38">
        <v>0</v>
      </c>
      <c r="L202" s="38">
        <v>0</v>
      </c>
      <c r="M202" s="38">
        <v>0</v>
      </c>
      <c r="N202" s="39">
        <f>H202+I202</f>
        <v>0</v>
      </c>
      <c r="O202" s="37">
        <v>0</v>
      </c>
      <c r="P202" s="60">
        <v>17539.8</v>
      </c>
      <c r="Q202" s="37">
        <f>R202+S202+T202+U202+V202</f>
        <v>0</v>
      </c>
      <c r="R202" s="37"/>
      <c r="S202" s="37"/>
      <c r="T202" s="37"/>
      <c r="U202" s="37"/>
      <c r="V202" s="37"/>
      <c r="W202" s="183">
        <v>0</v>
      </c>
      <c r="X202" s="320"/>
      <c r="Y202" s="320"/>
      <c r="Z202" s="353"/>
      <c r="AA202" s="37"/>
      <c r="AB202" s="37">
        <v>0</v>
      </c>
    </row>
    <row r="203" spans="1:28" hidden="1" x14ac:dyDescent="0.2">
      <c r="A203" s="12" t="s">
        <v>57</v>
      </c>
      <c r="B203" s="13"/>
      <c r="C203" s="14"/>
      <c r="D203" s="14"/>
      <c r="E203" s="15"/>
      <c r="F203" s="14"/>
      <c r="G203" s="14" t="s">
        <v>509</v>
      </c>
      <c r="H203" s="37">
        <v>0</v>
      </c>
      <c r="I203" s="37">
        <f>SUM(J203:M203)</f>
        <v>0</v>
      </c>
      <c r="J203" s="37">
        <v>0</v>
      </c>
      <c r="K203" s="38">
        <v>0</v>
      </c>
      <c r="L203" s="38">
        <v>0</v>
      </c>
      <c r="M203" s="38">
        <v>0</v>
      </c>
      <c r="N203" s="39">
        <f>H203+I203</f>
        <v>0</v>
      </c>
      <c r="O203" s="37">
        <v>0</v>
      </c>
      <c r="P203" s="60">
        <v>9460</v>
      </c>
      <c r="Q203" s="37">
        <f>R203+S203+T203+U203+V203</f>
        <v>0</v>
      </c>
      <c r="R203" s="37"/>
      <c r="S203" s="37"/>
      <c r="T203" s="37"/>
      <c r="U203" s="37"/>
      <c r="V203" s="37"/>
      <c r="W203" s="183">
        <v>0</v>
      </c>
      <c r="X203" s="320"/>
      <c r="Y203" s="320"/>
      <c r="Z203" s="353"/>
      <c r="AA203" s="37"/>
      <c r="AB203" s="37">
        <v>0</v>
      </c>
    </row>
    <row r="204" spans="1:28" hidden="1" x14ac:dyDescent="0.2">
      <c r="A204" s="29" t="s">
        <v>70</v>
      </c>
      <c r="B204" s="94">
        <v>804</v>
      </c>
      <c r="C204" s="31" t="s">
        <v>170</v>
      </c>
      <c r="D204" s="31" t="s">
        <v>176</v>
      </c>
      <c r="E204" s="32" t="s">
        <v>46</v>
      </c>
      <c r="F204" s="31" t="s">
        <v>71</v>
      </c>
      <c r="G204" s="31"/>
      <c r="H204" s="33">
        <f t="shared" ref="H204:N204" si="120">H205+H207</f>
        <v>0</v>
      </c>
      <c r="I204" s="33">
        <f t="shared" si="120"/>
        <v>0</v>
      </c>
      <c r="J204" s="33">
        <f t="shared" si="120"/>
        <v>0</v>
      </c>
      <c r="K204" s="34">
        <f t="shared" si="120"/>
        <v>0</v>
      </c>
      <c r="L204" s="34">
        <f t="shared" si="120"/>
        <v>0</v>
      </c>
      <c r="M204" s="34">
        <f t="shared" si="120"/>
        <v>0</v>
      </c>
      <c r="N204" s="35">
        <f t="shared" si="120"/>
        <v>0</v>
      </c>
      <c r="O204" s="33">
        <f>O205+O207</f>
        <v>0</v>
      </c>
      <c r="P204" s="281">
        <f>P205+P207</f>
        <v>0</v>
      </c>
      <c r="Q204" s="37">
        <f>R204+S204+T204+U204</f>
        <v>0</v>
      </c>
      <c r="R204" s="33"/>
      <c r="S204" s="33"/>
      <c r="T204" s="33"/>
      <c r="U204" s="33"/>
      <c r="V204" s="33"/>
      <c r="W204" s="183">
        <f t="shared" ref="W204:W209" si="121">P204+Q204</f>
        <v>0</v>
      </c>
      <c r="X204" s="320"/>
      <c r="Y204" s="320"/>
      <c r="Z204" s="353"/>
      <c r="AA204" s="33"/>
      <c r="AB204" s="37">
        <f t="shared" ref="AB204:AB209" si="122">U204+V204</f>
        <v>0</v>
      </c>
    </row>
    <row r="205" spans="1:28" hidden="1" x14ac:dyDescent="0.2">
      <c r="A205" s="12" t="s">
        <v>72</v>
      </c>
      <c r="B205" s="113">
        <v>804</v>
      </c>
      <c r="C205" s="14" t="s">
        <v>170</v>
      </c>
      <c r="D205" s="36" t="s">
        <v>176</v>
      </c>
      <c r="E205" s="15" t="s">
        <v>46</v>
      </c>
      <c r="F205" s="14" t="s">
        <v>73</v>
      </c>
      <c r="G205" s="14"/>
      <c r="H205" s="37">
        <f t="shared" ref="H205:P205" si="123">H206</f>
        <v>0</v>
      </c>
      <c r="I205" s="37">
        <f t="shared" si="123"/>
        <v>0</v>
      </c>
      <c r="J205" s="37">
        <f t="shared" si="123"/>
        <v>0</v>
      </c>
      <c r="K205" s="38">
        <f t="shared" si="123"/>
        <v>0</v>
      </c>
      <c r="L205" s="38">
        <f t="shared" si="123"/>
        <v>0</v>
      </c>
      <c r="M205" s="38">
        <f t="shared" si="123"/>
        <v>0</v>
      </c>
      <c r="N205" s="39">
        <f t="shared" si="123"/>
        <v>0</v>
      </c>
      <c r="O205" s="37">
        <f t="shared" si="123"/>
        <v>0</v>
      </c>
      <c r="P205" s="60">
        <f t="shared" si="123"/>
        <v>0</v>
      </c>
      <c r="Q205" s="37">
        <f>R205+S205+T205+U205</f>
        <v>0</v>
      </c>
      <c r="R205" s="37"/>
      <c r="S205" s="37"/>
      <c r="T205" s="37"/>
      <c r="U205" s="37"/>
      <c r="V205" s="37"/>
      <c r="W205" s="183">
        <f t="shared" si="121"/>
        <v>0</v>
      </c>
      <c r="X205" s="320"/>
      <c r="Y205" s="320"/>
      <c r="Z205" s="353"/>
      <c r="AA205" s="37"/>
      <c r="AB205" s="37">
        <f t="shared" si="122"/>
        <v>0</v>
      </c>
    </row>
    <row r="206" spans="1:28" ht="38.25" hidden="1" x14ac:dyDescent="0.2">
      <c r="A206" s="46" t="s">
        <v>179</v>
      </c>
      <c r="B206" s="47"/>
      <c r="C206" s="14"/>
      <c r="D206" s="14"/>
      <c r="E206" s="15"/>
      <c r="F206" s="14"/>
      <c r="G206" s="14" t="s">
        <v>173</v>
      </c>
      <c r="H206" s="81">
        <v>0</v>
      </c>
      <c r="I206" s="37">
        <f>SUM(J206:M206)</f>
        <v>0</v>
      </c>
      <c r="J206" s="81">
        <v>0</v>
      </c>
      <c r="K206" s="82">
        <v>0</v>
      </c>
      <c r="L206" s="82">
        <v>0</v>
      </c>
      <c r="M206" s="82">
        <v>0</v>
      </c>
      <c r="N206" s="39">
        <f>H206+I206</f>
        <v>0</v>
      </c>
      <c r="O206" s="81">
        <v>0</v>
      </c>
      <c r="P206" s="283">
        <v>0</v>
      </c>
      <c r="Q206" s="37">
        <f>R206+S206+T206+U206</f>
        <v>0</v>
      </c>
      <c r="R206" s="81"/>
      <c r="S206" s="81"/>
      <c r="T206" s="81"/>
      <c r="U206" s="81"/>
      <c r="V206" s="81"/>
      <c r="W206" s="183">
        <f t="shared" si="121"/>
        <v>0</v>
      </c>
      <c r="X206" s="320"/>
      <c r="Y206" s="320"/>
      <c r="Z206" s="353"/>
      <c r="AA206" s="81"/>
      <c r="AB206" s="37">
        <f t="shared" si="122"/>
        <v>0</v>
      </c>
    </row>
    <row r="207" spans="1:28" ht="25.5" hidden="1" x14ac:dyDescent="0.2">
      <c r="A207" s="12" t="s">
        <v>76</v>
      </c>
      <c r="B207" s="113">
        <v>804</v>
      </c>
      <c r="C207" s="14" t="s">
        <v>170</v>
      </c>
      <c r="D207" s="36" t="s">
        <v>176</v>
      </c>
      <c r="E207" s="15" t="s">
        <v>46</v>
      </c>
      <c r="F207" s="14" t="s">
        <v>77</v>
      </c>
      <c r="G207" s="14"/>
      <c r="H207" s="37">
        <f t="shared" ref="H207:P207" si="124">H208</f>
        <v>0</v>
      </c>
      <c r="I207" s="37">
        <f t="shared" si="124"/>
        <v>0</v>
      </c>
      <c r="J207" s="37">
        <f t="shared" si="124"/>
        <v>0</v>
      </c>
      <c r="K207" s="38">
        <f t="shared" si="124"/>
        <v>0</v>
      </c>
      <c r="L207" s="38">
        <f t="shared" si="124"/>
        <v>0</v>
      </c>
      <c r="M207" s="38">
        <f t="shared" si="124"/>
        <v>0</v>
      </c>
      <c r="N207" s="39">
        <f t="shared" si="124"/>
        <v>0</v>
      </c>
      <c r="O207" s="37">
        <f t="shared" si="124"/>
        <v>0</v>
      </c>
      <c r="P207" s="60">
        <f t="shared" si="124"/>
        <v>0</v>
      </c>
      <c r="Q207" s="37">
        <f>R207+S207+T207+U207</f>
        <v>0</v>
      </c>
      <c r="R207" s="37"/>
      <c r="S207" s="37"/>
      <c r="T207" s="37"/>
      <c r="U207" s="37"/>
      <c r="V207" s="37"/>
      <c r="W207" s="183">
        <f t="shared" si="121"/>
        <v>0</v>
      </c>
      <c r="X207" s="320"/>
      <c r="Y207" s="320"/>
      <c r="Z207" s="353"/>
      <c r="AA207" s="37"/>
      <c r="AB207" s="37">
        <f t="shared" si="122"/>
        <v>0</v>
      </c>
    </row>
    <row r="208" spans="1:28" ht="25.5" hidden="1" x14ac:dyDescent="0.2">
      <c r="A208" s="46" t="s">
        <v>180</v>
      </c>
      <c r="B208" s="47"/>
      <c r="C208" s="14"/>
      <c r="D208" s="14"/>
      <c r="E208" s="15"/>
      <c r="F208" s="14"/>
      <c r="G208" s="14" t="s">
        <v>173</v>
      </c>
      <c r="H208" s="37">
        <v>0</v>
      </c>
      <c r="I208" s="37">
        <f>SUM(J208:M208)</f>
        <v>0</v>
      </c>
      <c r="J208" s="37"/>
      <c r="K208" s="38"/>
      <c r="L208" s="38">
        <v>0</v>
      </c>
      <c r="M208" s="38"/>
      <c r="N208" s="39">
        <f>H208+I208</f>
        <v>0</v>
      </c>
      <c r="O208" s="37">
        <v>0</v>
      </c>
      <c r="P208" s="60">
        <v>0</v>
      </c>
      <c r="Q208" s="37">
        <f>R208+S208+T208+U208</f>
        <v>0</v>
      </c>
      <c r="R208" s="37"/>
      <c r="S208" s="37"/>
      <c r="T208" s="37"/>
      <c r="U208" s="37"/>
      <c r="V208" s="37"/>
      <c r="W208" s="183">
        <f t="shared" si="121"/>
        <v>0</v>
      </c>
      <c r="X208" s="320"/>
      <c r="Y208" s="320"/>
      <c r="Z208" s="353"/>
      <c r="AA208" s="37"/>
      <c r="AB208" s="37">
        <f t="shared" si="122"/>
        <v>0</v>
      </c>
    </row>
    <row r="209" spans="1:28" ht="51" hidden="1" x14ac:dyDescent="0.2">
      <c r="A209" s="46" t="s">
        <v>125</v>
      </c>
      <c r="B209" s="47"/>
      <c r="C209" s="14"/>
      <c r="D209" s="14"/>
      <c r="E209" s="15" t="s">
        <v>46</v>
      </c>
      <c r="F209" s="14" t="s">
        <v>73</v>
      </c>
      <c r="G209" s="14" t="s">
        <v>488</v>
      </c>
      <c r="H209" s="37"/>
      <c r="I209" s="37"/>
      <c r="J209" s="37"/>
      <c r="K209" s="38"/>
      <c r="L209" s="38"/>
      <c r="M209" s="38"/>
      <c r="N209" s="63"/>
      <c r="O209" s="37"/>
      <c r="P209" s="60">
        <v>0</v>
      </c>
      <c r="Q209" s="37">
        <f>R209+S209+T209+U209+V209</f>
        <v>0</v>
      </c>
      <c r="R209" s="37"/>
      <c r="S209" s="37"/>
      <c r="T209" s="37"/>
      <c r="U209" s="37"/>
      <c r="V209" s="37"/>
      <c r="W209" s="183">
        <f t="shared" si="121"/>
        <v>0</v>
      </c>
      <c r="X209" s="320"/>
      <c r="Y209" s="320"/>
      <c r="Z209" s="353"/>
      <c r="AA209" s="37">
        <v>0</v>
      </c>
      <c r="AB209" s="37">
        <f t="shared" si="122"/>
        <v>0</v>
      </c>
    </row>
    <row r="210" spans="1:28" ht="25.5" hidden="1" x14ac:dyDescent="0.2">
      <c r="A210" s="12" t="s">
        <v>76</v>
      </c>
      <c r="B210" s="47">
        <v>804</v>
      </c>
      <c r="C210" s="14" t="s">
        <v>170</v>
      </c>
      <c r="D210" s="14" t="s">
        <v>171</v>
      </c>
      <c r="E210" s="15" t="s">
        <v>44</v>
      </c>
      <c r="F210" s="14" t="s">
        <v>77</v>
      </c>
      <c r="G210" s="14" t="s">
        <v>489</v>
      </c>
      <c r="H210" s="37"/>
      <c r="I210" s="37"/>
      <c r="J210" s="37"/>
      <c r="K210" s="38"/>
      <c r="L210" s="38"/>
      <c r="M210" s="38"/>
      <c r="N210" s="63"/>
      <c r="O210" s="37"/>
      <c r="P210" s="60">
        <v>10150</v>
      </c>
      <c r="Q210" s="37">
        <f>R210+S210+T210+U210+V210</f>
        <v>0</v>
      </c>
      <c r="R210" s="37"/>
      <c r="S210" s="78"/>
      <c r="T210" s="78"/>
      <c r="U210" s="78"/>
      <c r="V210" s="78"/>
      <c r="W210" s="183">
        <v>0</v>
      </c>
      <c r="X210" s="320"/>
      <c r="Y210" s="320"/>
      <c r="Z210" s="353"/>
      <c r="AA210" s="37">
        <v>0</v>
      </c>
      <c r="AB210" s="37">
        <v>0</v>
      </c>
    </row>
    <row r="211" spans="1:28" ht="25.5" x14ac:dyDescent="0.2">
      <c r="A211" s="12" t="s">
        <v>76</v>
      </c>
      <c r="B211" s="47"/>
      <c r="C211" s="14"/>
      <c r="D211" s="14"/>
      <c r="E211" s="15" t="s">
        <v>46</v>
      </c>
      <c r="F211" s="14" t="s">
        <v>77</v>
      </c>
      <c r="G211" s="14" t="s">
        <v>489</v>
      </c>
      <c r="H211" s="37"/>
      <c r="I211" s="37"/>
      <c r="J211" s="37"/>
      <c r="K211" s="38"/>
      <c r="L211" s="38"/>
      <c r="M211" s="38"/>
      <c r="N211" s="63"/>
      <c r="O211" s="37"/>
      <c r="P211" s="60">
        <v>10258.219999999999</v>
      </c>
      <c r="Q211" s="37">
        <f>R211+S211+T211+U211+V211</f>
        <v>0</v>
      </c>
      <c r="R211" s="37"/>
      <c r="S211" s="78"/>
      <c r="T211" s="78"/>
      <c r="U211" s="78"/>
      <c r="V211" s="78"/>
      <c r="W211" s="183">
        <v>9970</v>
      </c>
      <c r="X211" s="320"/>
      <c r="Y211" s="320"/>
      <c r="Z211" s="353"/>
      <c r="AA211" s="37">
        <v>0</v>
      </c>
      <c r="AB211" s="37">
        <v>9970</v>
      </c>
    </row>
    <row r="212" spans="1:28" ht="25.5" x14ac:dyDescent="0.2">
      <c r="A212" s="126" t="s">
        <v>181</v>
      </c>
      <c r="B212" s="127">
        <v>804</v>
      </c>
      <c r="C212" s="128" t="s">
        <v>182</v>
      </c>
      <c r="D212" s="128" t="s">
        <v>18</v>
      </c>
      <c r="E212" s="129" t="s">
        <v>19</v>
      </c>
      <c r="F212" s="128" t="s">
        <v>19</v>
      </c>
      <c r="G212" s="19"/>
      <c r="H212" s="21">
        <f>H213+H215</f>
        <v>211500</v>
      </c>
      <c r="I212" s="21" t="e">
        <f>#REF!+I215</f>
        <v>#REF!</v>
      </c>
      <c r="J212" s="21" t="e">
        <f>#REF!+J215</f>
        <v>#REF!</v>
      </c>
      <c r="K212" s="21" t="e">
        <f>#REF!+K215</f>
        <v>#REF!</v>
      </c>
      <c r="L212" s="21" t="e">
        <f>#REF!+L215</f>
        <v>#REF!</v>
      </c>
      <c r="M212" s="21" t="e">
        <f>#REF!+M215</f>
        <v>#REF!</v>
      </c>
      <c r="N212" s="21" t="e">
        <f>#REF!+N215</f>
        <v>#REF!</v>
      </c>
      <c r="O212" s="21">
        <f t="shared" ref="O212:W212" si="125">O213+O215</f>
        <v>165564.91</v>
      </c>
      <c r="P212" s="279">
        <f t="shared" si="125"/>
        <v>375171</v>
      </c>
      <c r="Q212" s="279">
        <f t="shared" si="125"/>
        <v>0</v>
      </c>
      <c r="R212" s="279">
        <f t="shared" si="125"/>
        <v>0</v>
      </c>
      <c r="S212" s="279">
        <f t="shared" si="125"/>
        <v>0</v>
      </c>
      <c r="T212" s="279">
        <f t="shared" si="125"/>
        <v>0</v>
      </c>
      <c r="U212" s="279">
        <f t="shared" si="125"/>
        <v>0</v>
      </c>
      <c r="V212" s="279">
        <f t="shared" si="125"/>
        <v>0</v>
      </c>
      <c r="W212" s="279">
        <f t="shared" si="125"/>
        <v>69171</v>
      </c>
      <c r="X212" s="320"/>
      <c r="Y212" s="320"/>
      <c r="Z212" s="353"/>
      <c r="AA212" s="279">
        <f>AA213+AA215</f>
        <v>0</v>
      </c>
      <c r="AB212" s="279">
        <f t="shared" ref="AB212" si="126">AB213+AB215</f>
        <v>69171</v>
      </c>
    </row>
    <row r="213" spans="1:28" ht="25.5" x14ac:dyDescent="0.2">
      <c r="A213" s="130" t="s">
        <v>183</v>
      </c>
      <c r="B213" s="131">
        <v>804</v>
      </c>
      <c r="C213" s="85" t="s">
        <v>184</v>
      </c>
      <c r="D213" s="85" t="s">
        <v>185</v>
      </c>
      <c r="E213" s="86" t="s">
        <v>46</v>
      </c>
      <c r="F213" s="85" t="s">
        <v>42</v>
      </c>
      <c r="G213" s="24"/>
      <c r="H213" s="26">
        <f>H214</f>
        <v>61500</v>
      </c>
      <c r="I213" s="132"/>
      <c r="J213" s="132"/>
      <c r="K213" s="132"/>
      <c r="L213" s="132"/>
      <c r="M213" s="132"/>
      <c r="N213" s="132"/>
      <c r="O213" s="26">
        <f>O214</f>
        <v>45564.91</v>
      </c>
      <c r="P213" s="280">
        <f>P214</f>
        <v>20171</v>
      </c>
      <c r="Q213" s="280">
        <f t="shared" ref="Q213:W213" si="127">Q214</f>
        <v>0</v>
      </c>
      <c r="R213" s="280">
        <f t="shared" si="127"/>
        <v>0</v>
      </c>
      <c r="S213" s="280">
        <f t="shared" si="127"/>
        <v>0</v>
      </c>
      <c r="T213" s="280">
        <f t="shared" si="127"/>
        <v>0</v>
      </c>
      <c r="U213" s="280">
        <f t="shared" si="127"/>
        <v>0</v>
      </c>
      <c r="V213" s="280">
        <f t="shared" si="127"/>
        <v>0</v>
      </c>
      <c r="W213" s="280">
        <f t="shared" si="127"/>
        <v>20171</v>
      </c>
      <c r="X213" s="320"/>
      <c r="Y213" s="320"/>
      <c r="Z213" s="353"/>
      <c r="AA213" s="280">
        <f>AA214</f>
        <v>0</v>
      </c>
      <c r="AB213" s="280">
        <f t="shared" ref="AB213" si="128">AB214</f>
        <v>20171</v>
      </c>
    </row>
    <row r="214" spans="1:28" x14ac:dyDescent="0.2">
      <c r="A214" s="133" t="s">
        <v>186</v>
      </c>
      <c r="B214" s="134"/>
      <c r="C214" s="135"/>
      <c r="D214" s="135"/>
      <c r="E214" s="136"/>
      <c r="F214" s="135" t="s">
        <v>58</v>
      </c>
      <c r="G214" s="135" t="s">
        <v>490</v>
      </c>
      <c r="H214" s="78">
        <v>61500</v>
      </c>
      <c r="I214" s="132"/>
      <c r="J214" s="132"/>
      <c r="K214" s="132"/>
      <c r="L214" s="132"/>
      <c r="M214" s="132"/>
      <c r="N214" s="132"/>
      <c r="O214" s="78">
        <v>45564.91</v>
      </c>
      <c r="P214" s="74">
        <v>20171</v>
      </c>
      <c r="Q214" s="78">
        <f>R214+S214+T214+U214+V214</f>
        <v>0</v>
      </c>
      <c r="R214" s="78"/>
      <c r="S214" s="78">
        <v>0</v>
      </c>
      <c r="T214" s="78"/>
      <c r="U214" s="78"/>
      <c r="V214" s="78"/>
      <c r="W214" s="183">
        <v>20171</v>
      </c>
      <c r="X214" s="320"/>
      <c r="Y214" s="320"/>
      <c r="Z214" s="353"/>
      <c r="AA214" s="78"/>
      <c r="AB214" s="37">
        <v>20171</v>
      </c>
    </row>
    <row r="215" spans="1:28" ht="63.75" x14ac:dyDescent="0.2">
      <c r="A215" s="130" t="s">
        <v>187</v>
      </c>
      <c r="B215" s="131"/>
      <c r="C215" s="24" t="s">
        <v>188</v>
      </c>
      <c r="D215" s="98" t="s">
        <v>18</v>
      </c>
      <c r="E215" s="25" t="s">
        <v>19</v>
      </c>
      <c r="F215" s="24" t="s">
        <v>19</v>
      </c>
      <c r="G215" s="24"/>
      <c r="H215" s="26">
        <f>H216+H224</f>
        <v>150000</v>
      </c>
      <c r="I215" s="26">
        <f t="shared" ref="I215:N215" si="129">I217+I224</f>
        <v>0</v>
      </c>
      <c r="J215" s="26">
        <f t="shared" si="129"/>
        <v>0</v>
      </c>
      <c r="K215" s="26">
        <f t="shared" si="129"/>
        <v>0</v>
      </c>
      <c r="L215" s="26">
        <f t="shared" si="129"/>
        <v>0</v>
      </c>
      <c r="M215" s="26">
        <f t="shared" si="129"/>
        <v>0</v>
      </c>
      <c r="N215" s="26">
        <f t="shared" si="129"/>
        <v>150000</v>
      </c>
      <c r="O215" s="26">
        <f>O216+O224</f>
        <v>120000</v>
      </c>
      <c r="P215" s="280">
        <f t="shared" ref="P215:V215" si="130">P217+P222+P220+P224</f>
        <v>355000</v>
      </c>
      <c r="Q215" s="280">
        <f t="shared" si="130"/>
        <v>0</v>
      </c>
      <c r="R215" s="280">
        <f t="shared" si="130"/>
        <v>0</v>
      </c>
      <c r="S215" s="280">
        <f t="shared" si="130"/>
        <v>0</v>
      </c>
      <c r="T215" s="280">
        <f t="shared" si="130"/>
        <v>0</v>
      </c>
      <c r="U215" s="280">
        <f t="shared" si="130"/>
        <v>0</v>
      </c>
      <c r="V215" s="280">
        <f t="shared" si="130"/>
        <v>0</v>
      </c>
      <c r="W215" s="280">
        <f>W220+W224</f>
        <v>49000</v>
      </c>
      <c r="X215" s="320"/>
      <c r="Y215" s="320"/>
      <c r="Z215" s="320"/>
      <c r="AA215" s="280">
        <f>AA217+AA222+AA220+AA224</f>
        <v>0</v>
      </c>
      <c r="AB215" s="280">
        <f>AB220+AB224</f>
        <v>49000</v>
      </c>
    </row>
    <row r="216" spans="1:28" hidden="1" x14ac:dyDescent="0.2">
      <c r="A216" s="137" t="s">
        <v>41</v>
      </c>
      <c r="B216" s="138"/>
      <c r="C216" s="67" t="s">
        <v>188</v>
      </c>
      <c r="D216" s="66" t="s">
        <v>189</v>
      </c>
      <c r="E216" s="139" t="s">
        <v>46</v>
      </c>
      <c r="F216" s="104" t="s">
        <v>58</v>
      </c>
      <c r="G216" s="104" t="s">
        <v>64</v>
      </c>
      <c r="H216" s="140">
        <f>H217</f>
        <v>130000</v>
      </c>
      <c r="I216" s="26"/>
      <c r="J216" s="26"/>
      <c r="K216" s="26"/>
      <c r="L216" s="26"/>
      <c r="M216" s="26"/>
      <c r="N216" s="141"/>
      <c r="O216" s="140">
        <f>O217</f>
        <v>104000</v>
      </c>
      <c r="P216" s="285">
        <f t="shared" ref="P216:V216" si="131">P217</f>
        <v>266000</v>
      </c>
      <c r="Q216" s="285">
        <f t="shared" si="131"/>
        <v>0</v>
      </c>
      <c r="R216" s="285">
        <f t="shared" si="131"/>
        <v>0</v>
      </c>
      <c r="S216" s="285">
        <f t="shared" si="131"/>
        <v>0</v>
      </c>
      <c r="T216" s="285">
        <f t="shared" si="131"/>
        <v>0</v>
      </c>
      <c r="U216" s="285">
        <f t="shared" si="131"/>
        <v>0</v>
      </c>
      <c r="V216" s="285">
        <f t="shared" si="131"/>
        <v>0</v>
      </c>
      <c r="W216" s="285">
        <f>W217</f>
        <v>0</v>
      </c>
      <c r="X216" s="320"/>
      <c r="Y216" s="320"/>
      <c r="Z216" s="353"/>
      <c r="AA216" s="285"/>
      <c r="AB216" s="285">
        <f>AB217</f>
        <v>0</v>
      </c>
    </row>
    <row r="217" spans="1:28" hidden="1" x14ac:dyDescent="0.2">
      <c r="A217" s="44" t="s">
        <v>190</v>
      </c>
      <c r="B217" s="142"/>
      <c r="C217" s="143"/>
      <c r="D217" s="143"/>
      <c r="E217" s="144"/>
      <c r="F217" s="143"/>
      <c r="G217" s="143" t="s">
        <v>64</v>
      </c>
      <c r="H217" s="37">
        <v>130000</v>
      </c>
      <c r="I217" s="37">
        <f>SUM(J217:M217)</f>
        <v>0</v>
      </c>
      <c r="J217" s="37">
        <v>0</v>
      </c>
      <c r="K217" s="38"/>
      <c r="L217" s="38"/>
      <c r="M217" s="38"/>
      <c r="N217" s="39">
        <f>H217+I217</f>
        <v>130000</v>
      </c>
      <c r="O217" s="37">
        <f>130000*80%</f>
        <v>104000</v>
      </c>
      <c r="P217" s="60">
        <v>266000</v>
      </c>
      <c r="Q217" s="78">
        <f>R217+S217+T217+U217+V217</f>
        <v>0</v>
      </c>
      <c r="R217" s="37"/>
      <c r="S217" s="37"/>
      <c r="T217" s="37"/>
      <c r="U217" s="37">
        <v>0</v>
      </c>
      <c r="V217" s="37"/>
      <c r="W217" s="37">
        <v>0</v>
      </c>
      <c r="X217" s="320"/>
      <c r="Y217" s="320"/>
      <c r="Z217" s="353"/>
      <c r="AA217" s="37"/>
      <c r="AB217" s="37">
        <v>0</v>
      </c>
    </row>
    <row r="218" spans="1:28" ht="38.25" hidden="1" x14ac:dyDescent="0.2">
      <c r="A218" s="145" t="s">
        <v>191</v>
      </c>
      <c r="B218" s="13"/>
      <c r="C218" s="49" t="s">
        <v>192</v>
      </c>
      <c r="D218" s="49" t="s">
        <v>193</v>
      </c>
      <c r="E218" s="50" t="s">
        <v>46</v>
      </c>
      <c r="F218" s="49" t="s">
        <v>58</v>
      </c>
      <c r="G218" s="49"/>
      <c r="H218" s="51">
        <f t="shared" ref="H218:P218" si="132">H219</f>
        <v>0</v>
      </c>
      <c r="I218" s="51">
        <f t="shared" si="132"/>
        <v>0</v>
      </c>
      <c r="J218" s="51">
        <f t="shared" si="132"/>
        <v>0</v>
      </c>
      <c r="K218" s="52">
        <f t="shared" si="132"/>
        <v>0</v>
      </c>
      <c r="L218" s="52">
        <f t="shared" si="132"/>
        <v>0</v>
      </c>
      <c r="M218" s="52">
        <f t="shared" si="132"/>
        <v>0</v>
      </c>
      <c r="N218" s="53">
        <f t="shared" si="132"/>
        <v>0</v>
      </c>
      <c r="O218" s="51">
        <f t="shared" si="132"/>
        <v>0</v>
      </c>
      <c r="P218" s="282">
        <f t="shared" si="132"/>
        <v>0</v>
      </c>
      <c r="Q218" s="51">
        <f t="shared" ref="Q218:Q224" si="133">R218+S218+T218+U218</f>
        <v>0</v>
      </c>
      <c r="R218" s="51"/>
      <c r="S218" s="51"/>
      <c r="T218" s="51"/>
      <c r="U218" s="33"/>
      <c r="V218" s="33"/>
      <c r="W218" s="37">
        <f t="shared" ref="W218:W219" si="134">P218+Q218</f>
        <v>0</v>
      </c>
      <c r="X218" s="320"/>
      <c r="Y218" s="320"/>
      <c r="Z218" s="353"/>
      <c r="AA218" s="51"/>
      <c r="AB218" s="37">
        <f t="shared" ref="AB218:AB223" si="135">U218+V218</f>
        <v>0</v>
      </c>
    </row>
    <row r="219" spans="1:28" hidden="1" x14ac:dyDescent="0.2">
      <c r="A219" s="146" t="s">
        <v>148</v>
      </c>
      <c r="B219" s="13"/>
      <c r="C219" s="14" t="s">
        <v>192</v>
      </c>
      <c r="D219" s="14" t="s">
        <v>194</v>
      </c>
      <c r="E219" s="15" t="s">
        <v>46</v>
      </c>
      <c r="F219" s="14" t="s">
        <v>58</v>
      </c>
      <c r="G219" s="14" t="s">
        <v>64</v>
      </c>
      <c r="H219" s="37">
        <v>0</v>
      </c>
      <c r="I219" s="37">
        <v>0</v>
      </c>
      <c r="J219" s="37">
        <v>0</v>
      </c>
      <c r="K219" s="38">
        <v>0</v>
      </c>
      <c r="L219" s="38">
        <v>0</v>
      </c>
      <c r="M219" s="38">
        <v>0</v>
      </c>
      <c r="N219" s="39">
        <v>0</v>
      </c>
      <c r="O219" s="37">
        <v>0</v>
      </c>
      <c r="P219" s="60">
        <v>0</v>
      </c>
      <c r="Q219" s="51">
        <f t="shared" si="133"/>
        <v>0</v>
      </c>
      <c r="R219" s="37"/>
      <c r="S219" s="37"/>
      <c r="T219" s="37"/>
      <c r="U219" s="37"/>
      <c r="V219" s="37"/>
      <c r="W219" s="37">
        <f t="shared" si="134"/>
        <v>0</v>
      </c>
      <c r="X219" s="320"/>
      <c r="Y219" s="320"/>
      <c r="Z219" s="353"/>
      <c r="AA219" s="37"/>
      <c r="AB219" s="37">
        <f t="shared" si="135"/>
        <v>0</v>
      </c>
    </row>
    <row r="220" spans="1:28" x14ac:dyDescent="0.2">
      <c r="A220" s="351" t="s">
        <v>98</v>
      </c>
      <c r="B220" s="13"/>
      <c r="C220" s="49" t="s">
        <v>188</v>
      </c>
      <c r="D220" s="66" t="s">
        <v>189</v>
      </c>
      <c r="E220" s="50" t="s">
        <v>46</v>
      </c>
      <c r="F220" s="49" t="s">
        <v>51</v>
      </c>
      <c r="G220" s="49" t="s">
        <v>99</v>
      </c>
      <c r="H220" s="37"/>
      <c r="I220" s="37"/>
      <c r="J220" s="37"/>
      <c r="K220" s="38"/>
      <c r="L220" s="38"/>
      <c r="M220" s="38"/>
      <c r="N220" s="39"/>
      <c r="O220" s="37"/>
      <c r="P220" s="282">
        <v>6400</v>
      </c>
      <c r="Q220" s="51">
        <f t="shared" si="133"/>
        <v>0</v>
      </c>
      <c r="R220" s="282"/>
      <c r="S220" s="282">
        <f>S221</f>
        <v>0</v>
      </c>
      <c r="T220" s="282">
        <f>T221</f>
        <v>0</v>
      </c>
      <c r="U220" s="282">
        <f>U221</f>
        <v>0</v>
      </c>
      <c r="V220" s="282">
        <f>V221</f>
        <v>0</v>
      </c>
      <c r="W220" s="51">
        <v>24000</v>
      </c>
      <c r="X220" s="320"/>
      <c r="Y220" s="320"/>
      <c r="Z220" s="353"/>
      <c r="AA220" s="282"/>
      <c r="AB220" s="51">
        <v>24000</v>
      </c>
    </row>
    <row r="221" spans="1:28" hidden="1" x14ac:dyDescent="0.2">
      <c r="A221" s="351" t="s">
        <v>98</v>
      </c>
      <c r="B221" s="13"/>
      <c r="C221" s="14"/>
      <c r="D221" s="14"/>
      <c r="E221" s="15"/>
      <c r="F221" s="14"/>
      <c r="G221" s="14" t="s">
        <v>99</v>
      </c>
      <c r="H221" s="37"/>
      <c r="I221" s="37"/>
      <c r="J221" s="37"/>
      <c r="K221" s="38"/>
      <c r="L221" s="38"/>
      <c r="M221" s="38"/>
      <c r="N221" s="39"/>
      <c r="O221" s="37"/>
      <c r="P221" s="60">
        <v>0</v>
      </c>
      <c r="Q221" s="51">
        <f t="shared" si="133"/>
        <v>6400</v>
      </c>
      <c r="R221" s="37">
        <v>6400</v>
      </c>
      <c r="S221" s="37"/>
      <c r="T221" s="37"/>
      <c r="U221" s="37"/>
      <c r="V221" s="37"/>
      <c r="W221" s="37">
        <v>0</v>
      </c>
      <c r="X221" s="320"/>
      <c r="Y221" s="320"/>
      <c r="Z221" s="353"/>
      <c r="AA221" s="37">
        <v>6400</v>
      </c>
      <c r="AB221" s="37">
        <f t="shared" si="135"/>
        <v>0</v>
      </c>
    </row>
    <row r="222" spans="1:28" hidden="1" x14ac:dyDescent="0.2">
      <c r="A222" s="351" t="s">
        <v>480</v>
      </c>
      <c r="B222" s="13"/>
      <c r="C222" s="49" t="s">
        <v>188</v>
      </c>
      <c r="D222" s="66" t="s">
        <v>189</v>
      </c>
      <c r="E222" s="50"/>
      <c r="F222" s="49" t="s">
        <v>73</v>
      </c>
      <c r="G222" s="49" t="s">
        <v>75</v>
      </c>
      <c r="H222" s="37"/>
      <c r="I222" s="37"/>
      <c r="J222" s="37"/>
      <c r="K222" s="38"/>
      <c r="L222" s="38"/>
      <c r="M222" s="38"/>
      <c r="N222" s="39"/>
      <c r="O222" s="37"/>
      <c r="P222" s="282">
        <v>17600</v>
      </c>
      <c r="Q222" s="51">
        <f>R222+S222+T222+U222+V222</f>
        <v>0</v>
      </c>
      <c r="R222" s="51"/>
      <c r="S222" s="51"/>
      <c r="T222" s="51"/>
      <c r="U222" s="51"/>
      <c r="V222" s="51"/>
      <c r="W222" s="51"/>
      <c r="X222" s="320"/>
      <c r="Y222" s="320"/>
      <c r="Z222" s="353"/>
      <c r="AA222" s="51"/>
      <c r="AB222" s="51"/>
    </row>
    <row r="223" spans="1:28" hidden="1" x14ac:dyDescent="0.2">
      <c r="A223" s="146"/>
      <c r="B223" s="13"/>
      <c r="C223" s="14"/>
      <c r="D223" s="14"/>
      <c r="E223" s="15"/>
      <c r="F223" s="14"/>
      <c r="G223" s="14" t="s">
        <v>75</v>
      </c>
      <c r="H223" s="37"/>
      <c r="I223" s="37"/>
      <c r="J223" s="37"/>
      <c r="K223" s="38"/>
      <c r="L223" s="38"/>
      <c r="M223" s="38"/>
      <c r="N223" s="39"/>
      <c r="O223" s="37"/>
      <c r="P223" s="60">
        <v>0</v>
      </c>
      <c r="Q223" s="37">
        <f t="shared" si="133"/>
        <v>17600</v>
      </c>
      <c r="R223" s="37">
        <v>17600</v>
      </c>
      <c r="S223" s="37"/>
      <c r="T223" s="37"/>
      <c r="U223" s="37"/>
      <c r="V223" s="37"/>
      <c r="W223" s="37">
        <v>0</v>
      </c>
      <c r="X223" s="320"/>
      <c r="Y223" s="320"/>
      <c r="Z223" s="353"/>
      <c r="AA223" s="37">
        <v>17600</v>
      </c>
      <c r="AB223" s="37">
        <f t="shared" si="135"/>
        <v>0</v>
      </c>
    </row>
    <row r="224" spans="1:28" s="58" customFormat="1" ht="25.5" x14ac:dyDescent="0.2">
      <c r="A224" s="54" t="s">
        <v>76</v>
      </c>
      <c r="B224" s="108">
        <v>804</v>
      </c>
      <c r="C224" s="147" t="s">
        <v>188</v>
      </c>
      <c r="D224" s="147" t="s">
        <v>189</v>
      </c>
      <c r="E224" s="50" t="s">
        <v>46</v>
      </c>
      <c r="F224" s="49" t="s">
        <v>77</v>
      </c>
      <c r="G224" s="49"/>
      <c r="H224" s="51">
        <f t="shared" ref="H224:O224" si="136">H228</f>
        <v>20000</v>
      </c>
      <c r="I224" s="51">
        <f t="shared" si="136"/>
        <v>0</v>
      </c>
      <c r="J224" s="51">
        <f t="shared" si="136"/>
        <v>0</v>
      </c>
      <c r="K224" s="52">
        <f t="shared" si="136"/>
        <v>0</v>
      </c>
      <c r="L224" s="52">
        <f t="shared" si="136"/>
        <v>0</v>
      </c>
      <c r="M224" s="52">
        <f t="shared" si="136"/>
        <v>0</v>
      </c>
      <c r="N224" s="53">
        <f t="shared" si="136"/>
        <v>20000</v>
      </c>
      <c r="O224" s="51">
        <f t="shared" si="136"/>
        <v>16000</v>
      </c>
      <c r="P224" s="282">
        <f>P225+P226+P227+P228</f>
        <v>65000</v>
      </c>
      <c r="Q224" s="37">
        <f t="shared" si="133"/>
        <v>0</v>
      </c>
      <c r="R224" s="282">
        <f>R225+R226+R227+R228</f>
        <v>0</v>
      </c>
      <c r="S224" s="282">
        <f>S225+S226+S227+S228</f>
        <v>0</v>
      </c>
      <c r="T224" s="282">
        <f>T225+T226+T227+T228</f>
        <v>0</v>
      </c>
      <c r="U224" s="282">
        <f>U225+U226+U227+U228</f>
        <v>0</v>
      </c>
      <c r="V224" s="282">
        <f>V225+V226+V227+V228</f>
        <v>0</v>
      </c>
      <c r="W224" s="51">
        <f>W225+W226</f>
        <v>25000</v>
      </c>
      <c r="X224" s="321"/>
      <c r="Y224" s="321"/>
      <c r="Z224" s="356"/>
      <c r="AA224" s="282">
        <f>AA225+AA226+AA227+AA228</f>
        <v>0</v>
      </c>
      <c r="AB224" s="51">
        <f>AB225+AB226</f>
        <v>25000</v>
      </c>
    </row>
    <row r="225" spans="1:28" s="58" customFormat="1" ht="25.5" x14ac:dyDescent="0.2">
      <c r="A225" s="95" t="s">
        <v>481</v>
      </c>
      <c r="B225" s="108"/>
      <c r="C225" s="147"/>
      <c r="D225" s="147"/>
      <c r="E225" s="50"/>
      <c r="F225" s="49"/>
      <c r="G225" s="36" t="s">
        <v>475</v>
      </c>
      <c r="H225" s="51"/>
      <c r="I225" s="51"/>
      <c r="J225" s="51"/>
      <c r="K225" s="52"/>
      <c r="L225" s="52"/>
      <c r="M225" s="52"/>
      <c r="N225" s="53"/>
      <c r="O225" s="51"/>
      <c r="P225" s="74">
        <v>10000</v>
      </c>
      <c r="Q225" s="37">
        <f>R225+S225+T225+U225+V225</f>
        <v>0</v>
      </c>
      <c r="R225" s="74"/>
      <c r="S225" s="282"/>
      <c r="T225" s="282"/>
      <c r="U225" s="281"/>
      <c r="V225" s="281"/>
      <c r="W225" s="183">
        <v>10000</v>
      </c>
      <c r="X225" s="321"/>
      <c r="Y225" s="321"/>
      <c r="Z225" s="356"/>
      <c r="AA225" s="74"/>
      <c r="AB225" s="37">
        <v>10000</v>
      </c>
    </row>
    <row r="226" spans="1:28" s="58" customFormat="1" x14ac:dyDescent="0.2">
      <c r="A226" s="95" t="s">
        <v>482</v>
      </c>
      <c r="B226" s="108"/>
      <c r="C226" s="147"/>
      <c r="D226" s="147"/>
      <c r="E226" s="50"/>
      <c r="F226" s="49"/>
      <c r="G226" s="36" t="s">
        <v>79</v>
      </c>
      <c r="H226" s="51"/>
      <c r="I226" s="51"/>
      <c r="J226" s="51"/>
      <c r="K226" s="52"/>
      <c r="L226" s="52"/>
      <c r="M226" s="52"/>
      <c r="N226" s="53"/>
      <c r="O226" s="51"/>
      <c r="P226" s="74">
        <v>14296</v>
      </c>
      <c r="Q226" s="37">
        <f>R226+S226+T226+U226+V226</f>
        <v>0</v>
      </c>
      <c r="R226" s="74"/>
      <c r="S226" s="282"/>
      <c r="T226" s="282"/>
      <c r="U226" s="281"/>
      <c r="V226" s="281"/>
      <c r="W226" s="183">
        <v>15000</v>
      </c>
      <c r="X226" s="321"/>
      <c r="Y226" s="321"/>
      <c r="Z226" s="356"/>
      <c r="AA226" s="74"/>
      <c r="AB226" s="37">
        <v>15000</v>
      </c>
    </row>
    <row r="227" spans="1:28" s="58" customFormat="1" hidden="1" x14ac:dyDescent="0.2">
      <c r="A227" s="95" t="s">
        <v>134</v>
      </c>
      <c r="B227" s="108"/>
      <c r="C227" s="147"/>
      <c r="D227" s="147"/>
      <c r="E227" s="50"/>
      <c r="F227" s="49"/>
      <c r="G227" s="36" t="s">
        <v>127</v>
      </c>
      <c r="H227" s="51"/>
      <c r="I227" s="51"/>
      <c r="J227" s="51"/>
      <c r="K227" s="52"/>
      <c r="L227" s="52"/>
      <c r="M227" s="52"/>
      <c r="N227" s="53"/>
      <c r="O227" s="51"/>
      <c r="P227" s="74">
        <v>40000</v>
      </c>
      <c r="Q227" s="37">
        <f>R227+S227+T227+U227+V227</f>
        <v>0</v>
      </c>
      <c r="R227" s="74"/>
      <c r="S227" s="282"/>
      <c r="T227" s="282"/>
      <c r="U227" s="281"/>
      <c r="V227" s="281"/>
      <c r="W227" s="37">
        <v>0</v>
      </c>
      <c r="X227" s="321"/>
      <c r="Y227" s="321"/>
      <c r="Z227" s="356"/>
      <c r="AA227" s="74"/>
      <c r="AB227" s="37">
        <v>0</v>
      </c>
    </row>
    <row r="228" spans="1:28" ht="38.25" hidden="1" x14ac:dyDescent="0.2">
      <c r="A228" s="46" t="s">
        <v>179</v>
      </c>
      <c r="B228" s="47"/>
      <c r="C228" s="14"/>
      <c r="D228" s="14"/>
      <c r="E228" s="15"/>
      <c r="F228" s="14"/>
      <c r="G228" s="14" t="s">
        <v>81</v>
      </c>
      <c r="H228" s="81">
        <v>20000</v>
      </c>
      <c r="I228" s="37">
        <f>SUM(J228:M228)</f>
        <v>0</v>
      </c>
      <c r="J228" s="81">
        <v>0</v>
      </c>
      <c r="K228" s="82"/>
      <c r="L228" s="82"/>
      <c r="M228" s="82"/>
      <c r="N228" s="39">
        <f>H228+I228</f>
        <v>20000</v>
      </c>
      <c r="O228" s="81">
        <f>20000*80%</f>
        <v>16000</v>
      </c>
      <c r="P228" s="283">
        <v>704</v>
      </c>
      <c r="Q228" s="37">
        <f>R228+S228+T228+U228+V228</f>
        <v>0</v>
      </c>
      <c r="R228" s="81"/>
      <c r="S228" s="81"/>
      <c r="T228" s="81"/>
      <c r="U228" s="37">
        <v>0</v>
      </c>
      <c r="V228" s="37"/>
      <c r="W228" s="37">
        <v>0</v>
      </c>
      <c r="X228" s="320"/>
      <c r="Y228" s="320"/>
      <c r="Z228" s="353"/>
      <c r="AA228" s="81"/>
      <c r="AB228" s="37">
        <v>0</v>
      </c>
    </row>
    <row r="229" spans="1:28" x14ac:dyDescent="0.2">
      <c r="A229" s="17" t="s">
        <v>195</v>
      </c>
      <c r="B229" s="18"/>
      <c r="C229" s="19" t="s">
        <v>196</v>
      </c>
      <c r="D229" s="128" t="s">
        <v>18</v>
      </c>
      <c r="E229" s="20" t="s">
        <v>19</v>
      </c>
      <c r="F229" s="19"/>
      <c r="G229" s="19"/>
      <c r="H229" s="21">
        <f t="shared" ref="H229:O229" si="137">H233+H241+H255+H257+H245</f>
        <v>2972104.29</v>
      </c>
      <c r="I229" s="21">
        <f t="shared" si="137"/>
        <v>103473.41</v>
      </c>
      <c r="J229" s="21">
        <f t="shared" si="137"/>
        <v>98473.41</v>
      </c>
      <c r="K229" s="21">
        <f t="shared" si="137"/>
        <v>5000</v>
      </c>
      <c r="L229" s="21">
        <f t="shared" si="137"/>
        <v>0</v>
      </c>
      <c r="M229" s="21">
        <f t="shared" si="137"/>
        <v>0</v>
      </c>
      <c r="N229" s="21">
        <f t="shared" si="137"/>
        <v>2553473.41</v>
      </c>
      <c r="O229" s="21">
        <f t="shared" si="137"/>
        <v>2377683.432</v>
      </c>
      <c r="P229" s="279">
        <f>P230+P233+P255+P257+P245+P240</f>
        <v>7944952.4500000002</v>
      </c>
      <c r="Q229" s="279">
        <f t="shared" ref="Q229:V229" si="138">Q230+Q233+Q255+Q257+Q245+Q240</f>
        <v>38883</v>
      </c>
      <c r="R229" s="279">
        <f t="shared" si="138"/>
        <v>25251</v>
      </c>
      <c r="S229" s="279">
        <f t="shared" si="138"/>
        <v>0</v>
      </c>
      <c r="T229" s="279">
        <f t="shared" si="138"/>
        <v>0</v>
      </c>
      <c r="U229" s="279">
        <f t="shared" si="138"/>
        <v>0</v>
      </c>
      <c r="V229" s="279">
        <f t="shared" si="138"/>
        <v>13632</v>
      </c>
      <c r="W229" s="279">
        <f>W230+W233+W255+W257+W245+W240</f>
        <v>2180969.375</v>
      </c>
      <c r="X229" s="320"/>
      <c r="Y229" s="320"/>
      <c r="Z229" s="353"/>
      <c r="AA229" s="279">
        <f>AA230+AA233+AA255+AA257+AA245+AA240</f>
        <v>828106.01</v>
      </c>
      <c r="AB229" s="279">
        <f>AB230+AB233+AB255+AB257+AB245+AB240</f>
        <v>2180969.375</v>
      </c>
    </row>
    <row r="230" spans="1:28" x14ac:dyDescent="0.2">
      <c r="A230" s="40" t="s">
        <v>197</v>
      </c>
      <c r="B230" s="41"/>
      <c r="C230" s="24" t="s">
        <v>198</v>
      </c>
      <c r="D230" s="98" t="s">
        <v>18</v>
      </c>
      <c r="E230" s="25" t="s">
        <v>46</v>
      </c>
      <c r="F230" s="24"/>
      <c r="G230" s="24"/>
      <c r="H230" s="26"/>
      <c r="I230" s="26"/>
      <c r="J230" s="26"/>
      <c r="K230" s="26"/>
      <c r="L230" s="26"/>
      <c r="M230" s="26"/>
      <c r="N230" s="26"/>
      <c r="O230" s="26"/>
      <c r="P230" s="280">
        <f>P231+P232</f>
        <v>373515.25</v>
      </c>
      <c r="Q230" s="201">
        <f>R230+S230+T230+U230</f>
        <v>0</v>
      </c>
      <c r="R230" s="280">
        <f>R231+R232</f>
        <v>0</v>
      </c>
      <c r="S230" s="280">
        <f>S231+S232</f>
        <v>0</v>
      </c>
      <c r="T230" s="280">
        <f>T231+T232</f>
        <v>0</v>
      </c>
      <c r="U230" s="280">
        <f>U231+U232</f>
        <v>0</v>
      </c>
      <c r="V230" s="280">
        <f>V231+V232</f>
        <v>0</v>
      </c>
      <c r="W230" s="201">
        <f>W232</f>
        <v>373515.25</v>
      </c>
      <c r="X230" s="320"/>
      <c r="Y230" s="320"/>
      <c r="Z230" s="353"/>
      <c r="AA230" s="280">
        <f>AA231+AA232</f>
        <v>0</v>
      </c>
      <c r="AB230" s="201">
        <f>AB232</f>
        <v>373515.25</v>
      </c>
    </row>
    <row r="231" spans="1:28" ht="25.5" hidden="1" x14ac:dyDescent="0.2">
      <c r="A231" s="75" t="s">
        <v>199</v>
      </c>
      <c r="B231" s="149"/>
      <c r="C231" s="150"/>
      <c r="D231" s="72" t="s">
        <v>443</v>
      </c>
      <c r="E231" s="151"/>
      <c r="F231" s="162" t="s">
        <v>58</v>
      </c>
      <c r="G231" s="162" t="s">
        <v>64</v>
      </c>
      <c r="H231" s="78"/>
      <c r="I231" s="78"/>
      <c r="J231" s="78"/>
      <c r="K231" s="78"/>
      <c r="L231" s="78"/>
      <c r="M231" s="78"/>
      <c r="N231" s="78"/>
      <c r="O231" s="78"/>
      <c r="P231" s="74">
        <v>0</v>
      </c>
      <c r="Q231" s="78">
        <f>R231+S231+T231+U231</f>
        <v>0</v>
      </c>
      <c r="R231" s="78"/>
      <c r="S231" s="78"/>
      <c r="T231" s="78"/>
      <c r="U231" s="181"/>
      <c r="V231" s="181"/>
      <c r="W231" s="78">
        <f>P231+Q231</f>
        <v>0</v>
      </c>
      <c r="X231" s="320"/>
      <c r="Y231" s="320"/>
      <c r="Z231" s="353"/>
      <c r="AA231" s="78"/>
      <c r="AB231" s="78">
        <f>U231+V231</f>
        <v>0</v>
      </c>
    </row>
    <row r="232" spans="1:28" ht="25.5" x14ac:dyDescent="0.2">
      <c r="A232" s="75" t="s">
        <v>432</v>
      </c>
      <c r="B232" s="149"/>
      <c r="C232" s="150"/>
      <c r="D232" s="72" t="s">
        <v>433</v>
      </c>
      <c r="E232" s="151"/>
      <c r="F232" s="162" t="s">
        <v>58</v>
      </c>
      <c r="G232" s="162" t="s">
        <v>64</v>
      </c>
      <c r="H232" s="78"/>
      <c r="I232" s="78"/>
      <c r="J232" s="78"/>
      <c r="K232" s="78"/>
      <c r="L232" s="78"/>
      <c r="M232" s="78"/>
      <c r="N232" s="78"/>
      <c r="O232" s="78"/>
      <c r="P232" s="74">
        <v>373515.25</v>
      </c>
      <c r="Q232" s="78">
        <f>R232+S232+T232+U232+V232</f>
        <v>0</v>
      </c>
      <c r="R232" s="78"/>
      <c r="S232" s="78"/>
      <c r="T232" s="78"/>
      <c r="U232" s="181">
        <v>0</v>
      </c>
      <c r="V232" s="181"/>
      <c r="W232" s="181">
        <v>373515.25</v>
      </c>
      <c r="X232" s="320"/>
      <c r="Y232" s="320"/>
      <c r="Z232" s="353"/>
      <c r="AA232" s="78"/>
      <c r="AB232" s="78">
        <v>373515.25</v>
      </c>
    </row>
    <row r="233" spans="1:28" ht="38.25" x14ac:dyDescent="0.2">
      <c r="A233" s="40" t="s">
        <v>200</v>
      </c>
      <c r="B233" s="41">
        <v>804</v>
      </c>
      <c r="C233" s="24" t="s">
        <v>201</v>
      </c>
      <c r="D233" s="98" t="s">
        <v>18</v>
      </c>
      <c r="E233" s="25" t="s">
        <v>19</v>
      </c>
      <c r="F233" s="24"/>
      <c r="G233" s="24"/>
      <c r="H233" s="26">
        <f>H234+H238</f>
        <v>1000000</v>
      </c>
      <c r="I233" s="26">
        <f t="shared" ref="I233:N233" si="139">I234+I238</f>
        <v>0</v>
      </c>
      <c r="J233" s="26">
        <f t="shared" si="139"/>
        <v>0</v>
      </c>
      <c r="K233" s="26">
        <f t="shared" si="139"/>
        <v>0</v>
      </c>
      <c r="L233" s="26">
        <f t="shared" si="139"/>
        <v>0</v>
      </c>
      <c r="M233" s="26">
        <f t="shared" si="139"/>
        <v>0</v>
      </c>
      <c r="N233" s="26">
        <f t="shared" si="139"/>
        <v>1000000</v>
      </c>
      <c r="O233" s="26">
        <f>O234+O238</f>
        <v>800000</v>
      </c>
      <c r="P233" s="280">
        <f t="shared" ref="P233:W234" si="140">P234</f>
        <v>1029166.71</v>
      </c>
      <c r="Q233" s="280">
        <f t="shared" si="140"/>
        <v>0</v>
      </c>
      <c r="R233" s="280">
        <f t="shared" si="140"/>
        <v>0</v>
      </c>
      <c r="S233" s="280">
        <f t="shared" si="140"/>
        <v>0</v>
      </c>
      <c r="T233" s="280">
        <f t="shared" si="140"/>
        <v>0</v>
      </c>
      <c r="U233" s="280">
        <f t="shared" si="140"/>
        <v>0</v>
      </c>
      <c r="V233" s="280">
        <f t="shared" si="140"/>
        <v>0</v>
      </c>
      <c r="W233" s="280">
        <f t="shared" si="140"/>
        <v>475000</v>
      </c>
      <c r="X233" s="320"/>
      <c r="Y233" s="320"/>
      <c r="Z233" s="353"/>
      <c r="AA233" s="280">
        <f>AA234</f>
        <v>698106.01</v>
      </c>
      <c r="AB233" s="280">
        <f t="shared" ref="AB233:AB236" si="141">AB234</f>
        <v>475000</v>
      </c>
    </row>
    <row r="234" spans="1:28" x14ac:dyDescent="0.2">
      <c r="A234" s="29" t="s">
        <v>202</v>
      </c>
      <c r="B234" s="30">
        <v>804</v>
      </c>
      <c r="C234" s="31" t="s">
        <v>201</v>
      </c>
      <c r="D234" s="104" t="s">
        <v>18</v>
      </c>
      <c r="E234" s="32" t="s">
        <v>19</v>
      </c>
      <c r="F234" s="31" t="s">
        <v>19</v>
      </c>
      <c r="G234" s="31"/>
      <c r="H234" s="33">
        <f t="shared" ref="H234:W236" si="142">H235</f>
        <v>1000000</v>
      </c>
      <c r="I234" s="33">
        <f t="shared" si="142"/>
        <v>0</v>
      </c>
      <c r="J234" s="33">
        <f t="shared" si="142"/>
        <v>0</v>
      </c>
      <c r="K234" s="34">
        <f t="shared" si="142"/>
        <v>0</v>
      </c>
      <c r="L234" s="34">
        <f t="shared" si="142"/>
        <v>0</v>
      </c>
      <c r="M234" s="34">
        <f t="shared" si="142"/>
        <v>0</v>
      </c>
      <c r="N234" s="35">
        <f t="shared" si="142"/>
        <v>1000000</v>
      </c>
      <c r="O234" s="33">
        <f t="shared" si="142"/>
        <v>800000</v>
      </c>
      <c r="P234" s="281">
        <f>P235</f>
        <v>1029166.71</v>
      </c>
      <c r="Q234" s="281">
        <f t="shared" si="140"/>
        <v>0</v>
      </c>
      <c r="R234" s="281">
        <f>R235</f>
        <v>0</v>
      </c>
      <c r="S234" s="281">
        <f t="shared" si="140"/>
        <v>0</v>
      </c>
      <c r="T234" s="281">
        <f t="shared" si="140"/>
        <v>0</v>
      </c>
      <c r="U234" s="281">
        <f t="shared" si="140"/>
        <v>0</v>
      </c>
      <c r="V234" s="281">
        <f t="shared" si="140"/>
        <v>0</v>
      </c>
      <c r="W234" s="281">
        <f t="shared" si="140"/>
        <v>475000</v>
      </c>
      <c r="X234" s="320"/>
      <c r="Y234" s="320"/>
      <c r="Z234" s="320"/>
      <c r="AA234" s="281">
        <f>AA235</f>
        <v>698106.01</v>
      </c>
      <c r="AB234" s="281">
        <f t="shared" si="141"/>
        <v>475000</v>
      </c>
    </row>
    <row r="235" spans="1:28" ht="25.5" x14ac:dyDescent="0.2">
      <c r="A235" s="29" t="s">
        <v>203</v>
      </c>
      <c r="B235" s="94">
        <v>804</v>
      </c>
      <c r="C235" s="31" t="s">
        <v>201</v>
      </c>
      <c r="D235" s="31" t="s">
        <v>444</v>
      </c>
      <c r="E235" s="32" t="s">
        <v>19</v>
      </c>
      <c r="F235" s="31" t="s">
        <v>19</v>
      </c>
      <c r="G235" s="31"/>
      <c r="H235" s="33">
        <f t="shared" si="142"/>
        <v>1000000</v>
      </c>
      <c r="I235" s="33">
        <f t="shared" si="142"/>
        <v>0</v>
      </c>
      <c r="J235" s="33">
        <f t="shared" si="142"/>
        <v>0</v>
      </c>
      <c r="K235" s="34">
        <f t="shared" si="142"/>
        <v>0</v>
      </c>
      <c r="L235" s="34">
        <f t="shared" si="142"/>
        <v>0</v>
      </c>
      <c r="M235" s="34">
        <f t="shared" si="142"/>
        <v>0</v>
      </c>
      <c r="N235" s="35">
        <f t="shared" si="142"/>
        <v>1000000</v>
      </c>
      <c r="O235" s="33">
        <f t="shared" si="142"/>
        <v>800000</v>
      </c>
      <c r="P235" s="281">
        <f t="shared" si="142"/>
        <v>1029166.71</v>
      </c>
      <c r="Q235" s="281">
        <f t="shared" si="142"/>
        <v>0</v>
      </c>
      <c r="R235" s="281">
        <f>R236</f>
        <v>0</v>
      </c>
      <c r="S235" s="281">
        <f t="shared" si="142"/>
        <v>0</v>
      </c>
      <c r="T235" s="281">
        <f t="shared" si="142"/>
        <v>0</v>
      </c>
      <c r="U235" s="281">
        <f t="shared" si="142"/>
        <v>0</v>
      </c>
      <c r="V235" s="281">
        <f t="shared" si="142"/>
        <v>0</v>
      </c>
      <c r="W235" s="281">
        <f t="shared" si="142"/>
        <v>475000</v>
      </c>
      <c r="X235" s="320"/>
      <c r="Y235" s="320"/>
      <c r="Z235" s="353"/>
      <c r="AA235" s="281">
        <f>AA236</f>
        <v>698106.01</v>
      </c>
      <c r="AB235" s="281">
        <f t="shared" si="141"/>
        <v>475000</v>
      </c>
    </row>
    <row r="236" spans="1:28" ht="25.5" x14ac:dyDescent="0.2">
      <c r="A236" s="29" t="s">
        <v>204</v>
      </c>
      <c r="B236" s="94">
        <v>804</v>
      </c>
      <c r="C236" s="31" t="s">
        <v>201</v>
      </c>
      <c r="D236" s="31"/>
      <c r="E236" s="32" t="s">
        <v>401</v>
      </c>
      <c r="F236" s="31" t="s">
        <v>205</v>
      </c>
      <c r="G236" s="31"/>
      <c r="H236" s="33">
        <f t="shared" si="142"/>
        <v>1000000</v>
      </c>
      <c r="I236" s="33">
        <f t="shared" si="142"/>
        <v>0</v>
      </c>
      <c r="J236" s="33">
        <f t="shared" si="142"/>
        <v>0</v>
      </c>
      <c r="K236" s="34">
        <f t="shared" si="142"/>
        <v>0</v>
      </c>
      <c r="L236" s="34">
        <f t="shared" si="142"/>
        <v>0</v>
      </c>
      <c r="M236" s="34">
        <f t="shared" si="142"/>
        <v>0</v>
      </c>
      <c r="N236" s="35">
        <f t="shared" si="142"/>
        <v>1000000</v>
      </c>
      <c r="O236" s="33">
        <f t="shared" si="142"/>
        <v>800000</v>
      </c>
      <c r="P236" s="281">
        <f t="shared" si="142"/>
        <v>1029166.71</v>
      </c>
      <c r="Q236" s="281">
        <f t="shared" si="142"/>
        <v>0</v>
      </c>
      <c r="R236" s="281">
        <f>R237</f>
        <v>0</v>
      </c>
      <c r="S236" s="281">
        <f t="shared" si="142"/>
        <v>0</v>
      </c>
      <c r="T236" s="281">
        <f t="shared" si="142"/>
        <v>0</v>
      </c>
      <c r="U236" s="281">
        <f t="shared" si="142"/>
        <v>0</v>
      </c>
      <c r="V236" s="281">
        <f t="shared" si="142"/>
        <v>0</v>
      </c>
      <c r="W236" s="281">
        <f t="shared" si="142"/>
        <v>475000</v>
      </c>
      <c r="X236" s="320"/>
      <c r="Y236" s="320"/>
      <c r="Z236" s="353"/>
      <c r="AA236" s="281">
        <f>AA237</f>
        <v>698106.01</v>
      </c>
      <c r="AB236" s="281">
        <f t="shared" si="141"/>
        <v>475000</v>
      </c>
    </row>
    <row r="237" spans="1:28" ht="63.75" x14ac:dyDescent="0.2">
      <c r="A237" s="152" t="s">
        <v>206</v>
      </c>
      <c r="B237" s="142"/>
      <c r="C237" s="143"/>
      <c r="D237" s="143"/>
      <c r="E237" s="144"/>
      <c r="F237" s="143" t="s">
        <v>44</v>
      </c>
      <c r="G237" s="143"/>
      <c r="H237" s="37">
        <v>1000000</v>
      </c>
      <c r="I237" s="37">
        <f>SUM(J237:M237)</f>
        <v>0</v>
      </c>
      <c r="J237" s="37">
        <v>0</v>
      </c>
      <c r="K237" s="38">
        <v>0</v>
      </c>
      <c r="L237" s="38">
        <v>0</v>
      </c>
      <c r="M237" s="38">
        <v>0</v>
      </c>
      <c r="N237" s="39">
        <f>H237+I237</f>
        <v>1000000</v>
      </c>
      <c r="O237" s="37">
        <f>1000000*80%</f>
        <v>800000</v>
      </c>
      <c r="P237" s="60">
        <v>1029166.71</v>
      </c>
      <c r="Q237" s="37">
        <f>R237+S237+T237+U237+V237</f>
        <v>0</v>
      </c>
      <c r="R237" s="37"/>
      <c r="S237" s="37"/>
      <c r="T237" s="37"/>
      <c r="U237" s="37">
        <v>0</v>
      </c>
      <c r="V237" s="37"/>
      <c r="W237" s="183">
        <f>950000/2</f>
        <v>475000</v>
      </c>
      <c r="X237" s="320"/>
      <c r="Y237" s="320"/>
      <c r="Z237" s="353"/>
      <c r="AA237" s="37">
        <v>698106.01</v>
      </c>
      <c r="AB237" s="37">
        <f>950000/2</f>
        <v>475000</v>
      </c>
    </row>
    <row r="238" spans="1:28" s="58" customFormat="1" hidden="1" x14ac:dyDescent="0.2">
      <c r="A238" s="54" t="s">
        <v>72</v>
      </c>
      <c r="B238" s="108">
        <v>804</v>
      </c>
      <c r="C238" s="49" t="s">
        <v>201</v>
      </c>
      <c r="D238" s="49" t="s">
        <v>207</v>
      </c>
      <c r="E238" s="50" t="s">
        <v>46</v>
      </c>
      <c r="F238" s="49" t="s">
        <v>73</v>
      </c>
      <c r="G238" s="49"/>
      <c r="H238" s="51">
        <f t="shared" ref="H238:P238" si="143">H239</f>
        <v>0</v>
      </c>
      <c r="I238" s="51">
        <f t="shared" si="143"/>
        <v>0</v>
      </c>
      <c r="J238" s="51">
        <f t="shared" si="143"/>
        <v>0</v>
      </c>
      <c r="K238" s="52">
        <f t="shared" si="143"/>
        <v>0</v>
      </c>
      <c r="L238" s="52">
        <f t="shared" si="143"/>
        <v>0</v>
      </c>
      <c r="M238" s="52">
        <f t="shared" si="143"/>
        <v>0</v>
      </c>
      <c r="N238" s="53">
        <f t="shared" si="143"/>
        <v>0</v>
      </c>
      <c r="O238" s="51">
        <f t="shared" si="143"/>
        <v>0</v>
      </c>
      <c r="P238" s="282">
        <f t="shared" si="143"/>
        <v>0</v>
      </c>
      <c r="Q238" s="51"/>
      <c r="R238" s="51"/>
      <c r="S238" s="51"/>
      <c r="T238" s="51"/>
      <c r="U238" s="33"/>
      <c r="V238" s="33"/>
      <c r="W238" s="37"/>
      <c r="X238" s="321"/>
      <c r="Y238" s="321"/>
      <c r="Z238" s="356"/>
      <c r="AA238" s="51"/>
      <c r="AB238" s="37"/>
    </row>
    <row r="239" spans="1:28" ht="38.25" hidden="1" x14ac:dyDescent="0.2">
      <c r="A239" s="46" t="s">
        <v>179</v>
      </c>
      <c r="B239" s="47"/>
      <c r="C239" s="14"/>
      <c r="D239" s="14"/>
      <c r="E239" s="15"/>
      <c r="F239" s="14"/>
      <c r="G239" s="14" t="s">
        <v>75</v>
      </c>
      <c r="H239" s="81">
        <v>0</v>
      </c>
      <c r="I239" s="37">
        <f>SUM(J239:M239)</f>
        <v>0</v>
      </c>
      <c r="J239" s="81">
        <v>0</v>
      </c>
      <c r="K239" s="82">
        <v>0</v>
      </c>
      <c r="L239" s="82">
        <v>0</v>
      </c>
      <c r="M239" s="82">
        <v>0</v>
      </c>
      <c r="N239" s="39">
        <f>H239+I239</f>
        <v>0</v>
      </c>
      <c r="O239" s="81">
        <v>0</v>
      </c>
      <c r="P239" s="283">
        <v>0</v>
      </c>
      <c r="Q239" s="81"/>
      <c r="R239" s="81"/>
      <c r="S239" s="81"/>
      <c r="T239" s="81"/>
      <c r="U239" s="37"/>
      <c r="V239" s="37"/>
      <c r="W239" s="37"/>
      <c r="X239" s="320"/>
      <c r="Y239" s="320"/>
      <c r="Z239" s="353"/>
      <c r="AA239" s="81"/>
      <c r="AB239" s="37"/>
    </row>
    <row r="240" spans="1:28" x14ac:dyDescent="0.2">
      <c r="A240" s="351" t="s">
        <v>448</v>
      </c>
      <c r="B240" s="348">
        <v>804</v>
      </c>
      <c r="C240" s="49" t="s">
        <v>209</v>
      </c>
      <c r="D240" s="49" t="s">
        <v>18</v>
      </c>
      <c r="E240" s="50" t="s">
        <v>19</v>
      </c>
      <c r="F240" s="49" t="s">
        <v>19</v>
      </c>
      <c r="G240" s="49" t="s">
        <v>359</v>
      </c>
      <c r="H240" s="155"/>
      <c r="I240" s="51"/>
      <c r="J240" s="155"/>
      <c r="K240" s="156"/>
      <c r="L240" s="156"/>
      <c r="M240" s="156"/>
      <c r="N240" s="349"/>
      <c r="O240" s="155"/>
      <c r="P240" s="350">
        <f>P241+P254</f>
        <v>3130392.87</v>
      </c>
      <c r="Q240" s="350">
        <f t="shared" ref="Q240:W240" si="144">Q241+Q254</f>
        <v>0</v>
      </c>
      <c r="R240" s="350">
        <f t="shared" si="144"/>
        <v>0</v>
      </c>
      <c r="S240" s="350">
        <f t="shared" si="144"/>
        <v>0</v>
      </c>
      <c r="T240" s="350">
        <f t="shared" si="144"/>
        <v>0</v>
      </c>
      <c r="U240" s="350">
        <f t="shared" si="144"/>
        <v>0</v>
      </c>
      <c r="V240" s="350">
        <f t="shared" si="144"/>
        <v>0</v>
      </c>
      <c r="W240" s="350">
        <f t="shared" si="144"/>
        <v>743754.43500000006</v>
      </c>
      <c r="X240" s="320"/>
      <c r="Y240" s="320"/>
      <c r="Z240" s="353"/>
      <c r="AA240" s="350">
        <f>AA241+AA254</f>
        <v>60000</v>
      </c>
      <c r="AB240" s="350">
        <f t="shared" ref="AB240" si="145">AB241+AB254</f>
        <v>743754.43500000006</v>
      </c>
    </row>
    <row r="241" spans="1:28" ht="76.5" x14ac:dyDescent="0.2">
      <c r="A241" s="153" t="s">
        <v>208</v>
      </c>
      <c r="B241" s="90" t="s">
        <v>131</v>
      </c>
      <c r="C241" s="49" t="s">
        <v>209</v>
      </c>
      <c r="D241" s="49" t="s">
        <v>210</v>
      </c>
      <c r="E241" s="32" t="s">
        <v>46</v>
      </c>
      <c r="F241" s="31" t="s">
        <v>51</v>
      </c>
      <c r="G241" s="14"/>
      <c r="H241" s="51">
        <f>SUM(H242:H244)</f>
        <v>1922104.29</v>
      </c>
      <c r="I241" s="51">
        <f t="shared" ref="I241:O241" si="146">SUM(I242:I244)</f>
        <v>103473.41</v>
      </c>
      <c r="J241" s="51">
        <f t="shared" si="146"/>
        <v>98473.41</v>
      </c>
      <c r="K241" s="51">
        <f t="shared" si="146"/>
        <v>5000</v>
      </c>
      <c r="L241" s="51">
        <f t="shared" si="146"/>
        <v>0</v>
      </c>
      <c r="M241" s="51">
        <f t="shared" si="146"/>
        <v>0</v>
      </c>
      <c r="N241" s="51">
        <f t="shared" si="146"/>
        <v>1503473.41</v>
      </c>
      <c r="O241" s="51">
        <f t="shared" si="146"/>
        <v>1537683.432</v>
      </c>
      <c r="P241" s="282">
        <f>SUM(P242:P248)+P249+P252</f>
        <v>1825508.87</v>
      </c>
      <c r="Q241" s="282">
        <f t="shared" ref="Q241:V241" si="147">SUM(Q242:Q248)+Q249+Q252</f>
        <v>0</v>
      </c>
      <c r="R241" s="282">
        <f t="shared" si="147"/>
        <v>0</v>
      </c>
      <c r="S241" s="282">
        <f t="shared" si="147"/>
        <v>0</v>
      </c>
      <c r="T241" s="282">
        <f t="shared" si="147"/>
        <v>0</v>
      </c>
      <c r="U241" s="282">
        <f t="shared" si="147"/>
        <v>0</v>
      </c>
      <c r="V241" s="282">
        <f t="shared" si="147"/>
        <v>0</v>
      </c>
      <c r="W241" s="282">
        <f>SUM(W242:W248)+W249+W252</f>
        <v>743754.43500000006</v>
      </c>
      <c r="X241" s="320"/>
      <c r="Y241" s="320"/>
      <c r="Z241" s="353"/>
      <c r="AA241" s="282">
        <f>SUM(AA242:AA248)+AA249+AA252</f>
        <v>60000</v>
      </c>
      <c r="AB241" s="282">
        <f>SUM(AB242:AB248)+AB249+AB252</f>
        <v>743754.43500000006</v>
      </c>
    </row>
    <row r="242" spans="1:28" hidden="1" x14ac:dyDescent="0.2">
      <c r="A242" s="110" t="s">
        <v>211</v>
      </c>
      <c r="B242" s="154"/>
      <c r="C242" s="14"/>
      <c r="D242" s="36"/>
      <c r="E242" s="15"/>
      <c r="F242" s="14"/>
      <c r="G242" s="14" t="s">
        <v>56</v>
      </c>
      <c r="H242" s="37">
        <f>470036.97+47783.76+4283.56</f>
        <v>522104.29</v>
      </c>
      <c r="I242" s="37"/>
      <c r="J242" s="81"/>
      <c r="K242" s="82"/>
      <c r="L242" s="82"/>
      <c r="M242" s="82"/>
      <c r="N242" s="39"/>
      <c r="O242" s="37">
        <f>(470036.97+47783.76+4283.56)*80%</f>
        <v>417683.43200000003</v>
      </c>
      <c r="P242" s="60">
        <v>0</v>
      </c>
      <c r="Q242" s="37"/>
      <c r="R242" s="37"/>
      <c r="S242" s="37"/>
      <c r="T242" s="37"/>
      <c r="U242" s="37"/>
      <c r="V242" s="37"/>
      <c r="W242" s="37"/>
      <c r="X242" s="320"/>
      <c r="Y242" s="320"/>
      <c r="Z242" s="353"/>
      <c r="AA242" s="37"/>
      <c r="AB242" s="37"/>
    </row>
    <row r="243" spans="1:28" hidden="1" x14ac:dyDescent="0.2">
      <c r="A243" s="59" t="s">
        <v>212</v>
      </c>
      <c r="B243" s="154" t="s">
        <v>131</v>
      </c>
      <c r="C243" s="14" t="s">
        <v>209</v>
      </c>
      <c r="D243" s="36" t="s">
        <v>210</v>
      </c>
      <c r="E243" s="15" t="s">
        <v>141</v>
      </c>
      <c r="F243" s="14" t="s">
        <v>51</v>
      </c>
      <c r="G243" s="14" t="s">
        <v>56</v>
      </c>
      <c r="H243" s="37">
        <v>0</v>
      </c>
      <c r="I243" s="37"/>
      <c r="J243" s="81"/>
      <c r="K243" s="82"/>
      <c r="L243" s="82"/>
      <c r="M243" s="82"/>
      <c r="N243" s="39"/>
      <c r="O243" s="37">
        <v>0</v>
      </c>
      <c r="P243" s="60">
        <v>0</v>
      </c>
      <c r="Q243" s="37">
        <f t="shared" ref="Q243:Q248" si="148">R243+S243+T243+U243</f>
        <v>0</v>
      </c>
      <c r="R243" s="37"/>
      <c r="S243" s="37"/>
      <c r="T243" s="37">
        <v>0</v>
      </c>
      <c r="U243" s="37"/>
      <c r="V243" s="37"/>
      <c r="W243" s="37">
        <f t="shared" ref="W243:W248" si="149">P243+Q243</f>
        <v>0</v>
      </c>
      <c r="X243" s="320"/>
      <c r="Y243" s="320"/>
      <c r="Z243" s="353"/>
      <c r="AA243" s="37"/>
      <c r="AB243" s="37">
        <f t="shared" ref="AB243:AB248" si="150">U243+V243</f>
        <v>0</v>
      </c>
    </row>
    <row r="244" spans="1:28" hidden="1" x14ac:dyDescent="0.2">
      <c r="A244" s="12" t="s">
        <v>213</v>
      </c>
      <c r="B244" s="154"/>
      <c r="C244" s="14"/>
      <c r="D244" s="36"/>
      <c r="E244" s="15"/>
      <c r="F244" s="14"/>
      <c r="G244" s="14" t="s">
        <v>101</v>
      </c>
      <c r="H244" s="37">
        <f>2500000-1100000</f>
        <v>1400000</v>
      </c>
      <c r="I244" s="37">
        <f>SUM(J244:M244)</f>
        <v>103473.41</v>
      </c>
      <c r="J244" s="81">
        <v>98473.41</v>
      </c>
      <c r="K244" s="82">
        <v>5000</v>
      </c>
      <c r="L244" s="82">
        <v>0</v>
      </c>
      <c r="M244" s="82">
        <v>0</v>
      </c>
      <c r="N244" s="39">
        <f>H244+I244</f>
        <v>1503473.41</v>
      </c>
      <c r="O244" s="37">
        <f>(2500000-1100000)*80%</f>
        <v>1120000</v>
      </c>
      <c r="P244" s="60">
        <v>0</v>
      </c>
      <c r="Q244" s="37">
        <f t="shared" si="148"/>
        <v>0</v>
      </c>
      <c r="R244" s="37"/>
      <c r="S244" s="37"/>
      <c r="T244" s="37"/>
      <c r="U244" s="37"/>
      <c r="V244" s="37"/>
      <c r="W244" s="37">
        <f t="shared" si="149"/>
        <v>0</v>
      </c>
      <c r="X244" s="320"/>
      <c r="Y244" s="320"/>
      <c r="Z244" s="353"/>
      <c r="AA244" s="37"/>
      <c r="AB244" s="37">
        <f t="shared" si="150"/>
        <v>0</v>
      </c>
    </row>
    <row r="245" spans="1:28" s="58" customFormat="1" hidden="1" x14ac:dyDescent="0.2">
      <c r="A245" s="54" t="s">
        <v>57</v>
      </c>
      <c r="B245" s="90" t="s">
        <v>131</v>
      </c>
      <c r="C245" s="49" t="s">
        <v>209</v>
      </c>
      <c r="D245" s="49" t="s">
        <v>210</v>
      </c>
      <c r="E245" s="32" t="s">
        <v>46</v>
      </c>
      <c r="F245" s="49" t="s">
        <v>58</v>
      </c>
      <c r="G245" s="49"/>
      <c r="H245" s="51">
        <f>H246</f>
        <v>0</v>
      </c>
      <c r="I245" s="51"/>
      <c r="J245" s="155"/>
      <c r="K245" s="156"/>
      <c r="L245" s="156"/>
      <c r="M245" s="156"/>
      <c r="N245" s="53"/>
      <c r="O245" s="51"/>
      <c r="P245" s="282">
        <f>P246+P247</f>
        <v>0</v>
      </c>
      <c r="Q245" s="37">
        <f t="shared" si="148"/>
        <v>0</v>
      </c>
      <c r="R245" s="51"/>
      <c r="S245" s="51"/>
      <c r="T245" s="51"/>
      <c r="U245" s="33"/>
      <c r="V245" s="33"/>
      <c r="W245" s="37">
        <f t="shared" si="149"/>
        <v>0</v>
      </c>
      <c r="X245" s="321"/>
      <c r="Y245" s="321"/>
      <c r="Z245" s="356"/>
      <c r="AA245" s="51"/>
      <c r="AB245" s="37">
        <f t="shared" si="150"/>
        <v>0</v>
      </c>
    </row>
    <row r="246" spans="1:28" hidden="1" x14ac:dyDescent="0.2">
      <c r="A246" s="12" t="s">
        <v>214</v>
      </c>
      <c r="B246" s="154"/>
      <c r="C246" s="14"/>
      <c r="D246" s="36"/>
      <c r="E246" s="15"/>
      <c r="F246" s="14"/>
      <c r="G246" s="14" t="s">
        <v>64</v>
      </c>
      <c r="H246" s="37">
        <v>0</v>
      </c>
      <c r="I246" s="37"/>
      <c r="J246" s="81"/>
      <c r="K246" s="82"/>
      <c r="L246" s="82"/>
      <c r="M246" s="82"/>
      <c r="N246" s="39"/>
      <c r="O246" s="37"/>
      <c r="P246" s="60">
        <v>0</v>
      </c>
      <c r="Q246" s="37">
        <f t="shared" si="148"/>
        <v>0</v>
      </c>
      <c r="R246" s="37"/>
      <c r="S246" s="37"/>
      <c r="T246" s="37"/>
      <c r="U246" s="37"/>
      <c r="V246" s="37"/>
      <c r="W246" s="37">
        <f t="shared" si="149"/>
        <v>0</v>
      </c>
      <c r="X246" s="320"/>
      <c r="Y246" s="320"/>
      <c r="Z246" s="353"/>
      <c r="AA246" s="37"/>
      <c r="AB246" s="37">
        <f t="shared" si="150"/>
        <v>0</v>
      </c>
    </row>
    <row r="247" spans="1:28" hidden="1" x14ac:dyDescent="0.2">
      <c r="A247" s="59" t="s">
        <v>215</v>
      </c>
      <c r="B247" s="154"/>
      <c r="C247" s="14"/>
      <c r="D247" s="36"/>
      <c r="E247" s="15"/>
      <c r="F247" s="14"/>
      <c r="G247" s="14" t="s">
        <v>104</v>
      </c>
      <c r="H247" s="37">
        <v>0</v>
      </c>
      <c r="I247" s="37"/>
      <c r="J247" s="81"/>
      <c r="K247" s="82"/>
      <c r="L247" s="82"/>
      <c r="M247" s="82"/>
      <c r="N247" s="39"/>
      <c r="O247" s="37"/>
      <c r="P247" s="61">
        <v>0</v>
      </c>
      <c r="Q247" s="37">
        <f t="shared" si="148"/>
        <v>0</v>
      </c>
      <c r="R247" s="37"/>
      <c r="S247" s="37"/>
      <c r="T247" s="37"/>
      <c r="U247" s="37"/>
      <c r="V247" s="37"/>
      <c r="W247" s="37">
        <f t="shared" si="149"/>
        <v>0</v>
      </c>
      <c r="X247" s="320"/>
      <c r="Y247" s="320"/>
      <c r="Z247" s="353"/>
      <c r="AA247" s="37"/>
      <c r="AB247" s="37">
        <f t="shared" si="150"/>
        <v>0</v>
      </c>
    </row>
    <row r="248" spans="1:28" hidden="1" x14ac:dyDescent="0.2">
      <c r="A248" s="59" t="s">
        <v>409</v>
      </c>
      <c r="B248" s="214" t="s">
        <v>131</v>
      </c>
      <c r="C248" s="36" t="s">
        <v>209</v>
      </c>
      <c r="D248" s="36" t="s">
        <v>411</v>
      </c>
      <c r="E248" s="77" t="s">
        <v>141</v>
      </c>
      <c r="F248" s="36" t="s">
        <v>51</v>
      </c>
      <c r="G248" s="36" t="s">
        <v>56</v>
      </c>
      <c r="H248" s="37"/>
      <c r="I248" s="37"/>
      <c r="J248" s="81"/>
      <c r="K248" s="82"/>
      <c r="L248" s="82"/>
      <c r="M248" s="82"/>
      <c r="N248" s="39"/>
      <c r="O248" s="37"/>
      <c r="P248" s="291">
        <v>0</v>
      </c>
      <c r="Q248" s="37">
        <f t="shared" si="148"/>
        <v>0</v>
      </c>
      <c r="R248" s="37"/>
      <c r="S248" s="37">
        <v>0</v>
      </c>
      <c r="T248" s="37"/>
      <c r="U248" s="37"/>
      <c r="V248" s="37"/>
      <c r="W248" s="37">
        <f t="shared" si="149"/>
        <v>0</v>
      </c>
      <c r="X248" s="320"/>
      <c r="Y248" s="320"/>
      <c r="Z248" s="353"/>
      <c r="AA248" s="37"/>
      <c r="AB248" s="37">
        <f t="shared" si="150"/>
        <v>0</v>
      </c>
    </row>
    <row r="249" spans="1:28" x14ac:dyDescent="0.2">
      <c r="A249" s="153" t="s">
        <v>213</v>
      </c>
      <c r="B249" s="90" t="s">
        <v>131</v>
      </c>
      <c r="C249" s="49" t="s">
        <v>209</v>
      </c>
      <c r="D249" s="104" t="s">
        <v>18</v>
      </c>
      <c r="E249" s="50" t="s">
        <v>19</v>
      </c>
      <c r="F249" s="49" t="s">
        <v>51</v>
      </c>
      <c r="G249" s="49"/>
      <c r="H249" s="51">
        <f>H255</f>
        <v>50000</v>
      </c>
      <c r="I249" s="51"/>
      <c r="J249" s="155"/>
      <c r="K249" s="156"/>
      <c r="L249" s="156"/>
      <c r="M249" s="156"/>
      <c r="N249" s="53"/>
      <c r="O249" s="51"/>
      <c r="P249" s="282">
        <f>P250+P251</f>
        <v>1487508.87</v>
      </c>
      <c r="Q249" s="282">
        <f t="shared" ref="Q249:V249" si="151">Q250+Q251</f>
        <v>0</v>
      </c>
      <c r="R249" s="282">
        <f t="shared" si="151"/>
        <v>0</v>
      </c>
      <c r="S249" s="282">
        <f t="shared" si="151"/>
        <v>0</v>
      </c>
      <c r="T249" s="282">
        <f t="shared" si="151"/>
        <v>0</v>
      </c>
      <c r="U249" s="282">
        <f t="shared" si="151"/>
        <v>0</v>
      </c>
      <c r="V249" s="282">
        <f t="shared" si="151"/>
        <v>0</v>
      </c>
      <c r="W249" s="282">
        <f>W250+W251</f>
        <v>743754.43500000006</v>
      </c>
      <c r="X249" s="320"/>
      <c r="Y249" s="320"/>
      <c r="Z249" s="353"/>
      <c r="AA249" s="282">
        <f>AA250+AA251</f>
        <v>60000</v>
      </c>
      <c r="AB249" s="282">
        <f>AB250+AB251</f>
        <v>743754.43500000006</v>
      </c>
    </row>
    <row r="250" spans="1:28" x14ac:dyDescent="0.2">
      <c r="A250" s="75" t="s">
        <v>213</v>
      </c>
      <c r="B250" s="214" t="s">
        <v>131</v>
      </c>
      <c r="C250" s="36" t="s">
        <v>209</v>
      </c>
      <c r="D250" s="36" t="s">
        <v>445</v>
      </c>
      <c r="E250" s="77" t="s">
        <v>46</v>
      </c>
      <c r="F250" s="36" t="s">
        <v>51</v>
      </c>
      <c r="G250" s="36" t="s">
        <v>101</v>
      </c>
      <c r="H250" s="78"/>
      <c r="I250" s="78"/>
      <c r="J250" s="300"/>
      <c r="K250" s="301"/>
      <c r="L250" s="301"/>
      <c r="M250" s="301"/>
      <c r="N250" s="121"/>
      <c r="O250" s="78"/>
      <c r="P250" s="74">
        <v>1487508.87</v>
      </c>
      <c r="Q250" s="78">
        <f>R250+S250+T250+U250+V250</f>
        <v>0</v>
      </c>
      <c r="R250" s="78"/>
      <c r="S250" s="51"/>
      <c r="T250" s="51"/>
      <c r="U250" s="37">
        <v>0</v>
      </c>
      <c r="V250" s="37"/>
      <c r="W250" s="183">
        <f>1487508.87/2</f>
        <v>743754.43500000006</v>
      </c>
      <c r="X250" s="320"/>
      <c r="Y250" s="320"/>
      <c r="Z250" s="353"/>
      <c r="AA250" s="78">
        <v>60000</v>
      </c>
      <c r="AB250" s="37">
        <f>1487508.87/2</f>
        <v>743754.43500000006</v>
      </c>
    </row>
    <row r="251" spans="1:28" hidden="1" x14ac:dyDescent="0.2">
      <c r="A251" s="75" t="s">
        <v>416</v>
      </c>
      <c r="B251" s="214" t="s">
        <v>131</v>
      </c>
      <c r="C251" s="36" t="s">
        <v>209</v>
      </c>
      <c r="D251" s="36" t="s">
        <v>267</v>
      </c>
      <c r="E251" s="77" t="s">
        <v>46</v>
      </c>
      <c r="F251" s="36" t="s">
        <v>51</v>
      </c>
      <c r="G251" s="36" t="s">
        <v>101</v>
      </c>
      <c r="H251" s="78"/>
      <c r="I251" s="78"/>
      <c r="J251" s="300"/>
      <c r="K251" s="301"/>
      <c r="L251" s="301"/>
      <c r="M251" s="301"/>
      <c r="N251" s="121"/>
      <c r="O251" s="78"/>
      <c r="P251" s="74">
        <v>0</v>
      </c>
      <c r="Q251" s="78">
        <f>R251+S251+T251+U251</f>
        <v>0</v>
      </c>
      <c r="R251" s="78">
        <v>0</v>
      </c>
      <c r="S251" s="78">
        <v>0</v>
      </c>
      <c r="T251" s="51"/>
      <c r="U251" s="37"/>
      <c r="V251" s="37"/>
      <c r="W251" s="37">
        <f>P251+Q251</f>
        <v>0</v>
      </c>
      <c r="X251" s="320"/>
      <c r="Y251" s="320"/>
      <c r="Z251" s="353"/>
      <c r="AA251" s="78">
        <v>0</v>
      </c>
      <c r="AB251" s="37">
        <f>U251+V251</f>
        <v>0</v>
      </c>
    </row>
    <row r="252" spans="1:28" ht="38.25" hidden="1" x14ac:dyDescent="0.2">
      <c r="A252" s="153" t="s">
        <v>413</v>
      </c>
      <c r="B252" s="90" t="s">
        <v>131</v>
      </c>
      <c r="C252" s="49" t="s">
        <v>209</v>
      </c>
      <c r="D252" s="104" t="s">
        <v>18</v>
      </c>
      <c r="E252" s="50" t="s">
        <v>19</v>
      </c>
      <c r="F252" s="36" t="s">
        <v>58</v>
      </c>
      <c r="G252" s="36"/>
      <c r="H252" s="78">
        <f>H256</f>
        <v>50000</v>
      </c>
      <c r="I252" s="78"/>
      <c r="J252" s="300"/>
      <c r="K252" s="301"/>
      <c r="L252" s="301"/>
      <c r="M252" s="301"/>
      <c r="N252" s="121"/>
      <c r="O252" s="78"/>
      <c r="P252" s="282">
        <f>P253</f>
        <v>338000</v>
      </c>
      <c r="Q252" s="282">
        <f t="shared" ref="Q252:W252" si="152">Q253</f>
        <v>0</v>
      </c>
      <c r="R252" s="282">
        <f t="shared" si="152"/>
        <v>0</v>
      </c>
      <c r="S252" s="282">
        <f t="shared" si="152"/>
        <v>0</v>
      </c>
      <c r="T252" s="282">
        <f t="shared" si="152"/>
        <v>0</v>
      </c>
      <c r="U252" s="282">
        <f t="shared" si="152"/>
        <v>0</v>
      </c>
      <c r="V252" s="282">
        <f t="shared" si="152"/>
        <v>0</v>
      </c>
      <c r="W252" s="282">
        <f t="shared" si="152"/>
        <v>0</v>
      </c>
      <c r="X252" s="320"/>
      <c r="Y252" s="320"/>
      <c r="Z252" s="353"/>
      <c r="AA252" s="282">
        <f>AA253</f>
        <v>0</v>
      </c>
      <c r="AB252" s="282">
        <f t="shared" ref="AB252" si="153">AB253</f>
        <v>0</v>
      </c>
    </row>
    <row r="253" spans="1:28" ht="38.25" hidden="1" x14ac:dyDescent="0.2">
      <c r="A253" s="59" t="s">
        <v>413</v>
      </c>
      <c r="B253" s="214" t="s">
        <v>131</v>
      </c>
      <c r="C253" s="36" t="s">
        <v>209</v>
      </c>
      <c r="D253" s="49" t="s">
        <v>447</v>
      </c>
      <c r="E253" s="77" t="s">
        <v>46</v>
      </c>
      <c r="F253" s="36" t="s">
        <v>58</v>
      </c>
      <c r="G253" s="36" t="s">
        <v>64</v>
      </c>
      <c r="H253" s="51"/>
      <c r="I253" s="51"/>
      <c r="J253" s="155"/>
      <c r="K253" s="156"/>
      <c r="L253" s="156"/>
      <c r="M253" s="156"/>
      <c r="N253" s="53"/>
      <c r="O253" s="51"/>
      <c r="P253" s="74">
        <v>338000</v>
      </c>
      <c r="Q253" s="181">
        <f>R253+S253+T253+U253+V253</f>
        <v>0</v>
      </c>
      <c r="R253" s="78"/>
      <c r="S253" s="78"/>
      <c r="T253" s="78"/>
      <c r="U253" s="78"/>
      <c r="V253" s="78"/>
      <c r="W253" s="183">
        <v>0</v>
      </c>
      <c r="X253" s="320"/>
      <c r="Y253" s="320"/>
      <c r="Z253" s="353"/>
      <c r="AA253" s="78">
        <v>0</v>
      </c>
      <c r="AB253" s="183">
        <v>0</v>
      </c>
    </row>
    <row r="254" spans="1:28" ht="51" hidden="1" x14ac:dyDescent="0.2">
      <c r="A254" s="153" t="s">
        <v>446</v>
      </c>
      <c r="B254" s="90" t="s">
        <v>131</v>
      </c>
      <c r="C254" s="49" t="s">
        <v>209</v>
      </c>
      <c r="D254" s="49" t="s">
        <v>447</v>
      </c>
      <c r="E254" s="50" t="s">
        <v>46</v>
      </c>
      <c r="F254" s="49" t="s">
        <v>58</v>
      </c>
      <c r="G254" s="49" t="s">
        <v>64</v>
      </c>
      <c r="H254" s="51"/>
      <c r="I254" s="51"/>
      <c r="J254" s="155"/>
      <c r="K254" s="156"/>
      <c r="L254" s="156"/>
      <c r="M254" s="156"/>
      <c r="N254" s="53"/>
      <c r="O254" s="51"/>
      <c r="P254" s="282">
        <v>1304884</v>
      </c>
      <c r="Q254" s="352">
        <f>R254+S254+T254+U254+V254</f>
        <v>0</v>
      </c>
      <c r="R254" s="51"/>
      <c r="S254" s="51"/>
      <c r="T254" s="51"/>
      <c r="U254" s="51"/>
      <c r="V254" s="51"/>
      <c r="W254" s="51">
        <v>0</v>
      </c>
      <c r="X254" s="320"/>
      <c r="Y254" s="320"/>
      <c r="Z254" s="353"/>
      <c r="AA254" s="51"/>
      <c r="AB254" s="51">
        <v>0</v>
      </c>
    </row>
    <row r="255" spans="1:28" s="161" customFormat="1" ht="38.25" x14ac:dyDescent="0.2">
      <c r="A255" s="157" t="s">
        <v>216</v>
      </c>
      <c r="B255" s="97">
        <v>804</v>
      </c>
      <c r="C255" s="98" t="s">
        <v>217</v>
      </c>
      <c r="D255" s="98" t="s">
        <v>18</v>
      </c>
      <c r="E255" s="99" t="s">
        <v>19</v>
      </c>
      <c r="F255" s="98"/>
      <c r="G255" s="98"/>
      <c r="H255" s="158">
        <f t="shared" ref="H255:O255" si="154">H256</f>
        <v>50000</v>
      </c>
      <c r="I255" s="158">
        <f t="shared" si="154"/>
        <v>0</v>
      </c>
      <c r="J255" s="158">
        <f t="shared" si="154"/>
        <v>0</v>
      </c>
      <c r="K255" s="159">
        <f t="shared" si="154"/>
        <v>0</v>
      </c>
      <c r="L255" s="159">
        <f t="shared" si="154"/>
        <v>0</v>
      </c>
      <c r="M255" s="159">
        <f t="shared" si="154"/>
        <v>0</v>
      </c>
      <c r="N255" s="160">
        <f t="shared" si="154"/>
        <v>50000</v>
      </c>
      <c r="O255" s="158">
        <f t="shared" si="154"/>
        <v>40000</v>
      </c>
      <c r="P255" s="158">
        <f>P256+P260</f>
        <v>70000</v>
      </c>
      <c r="Q255" s="158">
        <f t="shared" ref="Q255:W255" si="155">Q256+Q260</f>
        <v>0</v>
      </c>
      <c r="R255" s="158">
        <f t="shared" si="155"/>
        <v>0</v>
      </c>
      <c r="S255" s="158">
        <f t="shared" si="155"/>
        <v>0</v>
      </c>
      <c r="T255" s="158">
        <f t="shared" si="155"/>
        <v>0</v>
      </c>
      <c r="U255" s="158">
        <f t="shared" si="155"/>
        <v>0</v>
      </c>
      <c r="V255" s="158">
        <f t="shared" si="155"/>
        <v>0</v>
      </c>
      <c r="W255" s="158">
        <f t="shared" si="155"/>
        <v>70000</v>
      </c>
      <c r="X255" s="360"/>
      <c r="Y255" s="360"/>
      <c r="Z255" s="361"/>
      <c r="AA255" s="158">
        <f>AA256+AA260</f>
        <v>70000</v>
      </c>
      <c r="AB255" s="158">
        <f t="shared" ref="AB255" si="156">AB256+AB260</f>
        <v>70000</v>
      </c>
    </row>
    <row r="256" spans="1:28" x14ac:dyDescent="0.2">
      <c r="A256" s="44" t="s">
        <v>218</v>
      </c>
      <c r="B256" s="47">
        <v>804</v>
      </c>
      <c r="C256" s="14" t="s">
        <v>217</v>
      </c>
      <c r="D256" s="162" t="s">
        <v>449</v>
      </c>
      <c r="E256" s="15" t="s">
        <v>396</v>
      </c>
      <c r="F256" s="14" t="s">
        <v>44</v>
      </c>
      <c r="G256" s="14"/>
      <c r="H256" s="37">
        <v>50000</v>
      </c>
      <c r="I256" s="37">
        <f>SUM(J256:M256)</f>
        <v>0</v>
      </c>
      <c r="J256" s="37"/>
      <c r="K256" s="38"/>
      <c r="L256" s="38"/>
      <c r="M256" s="38"/>
      <c r="N256" s="39">
        <f>H256+I256</f>
        <v>50000</v>
      </c>
      <c r="O256" s="37">
        <f>50000*80%</f>
        <v>40000</v>
      </c>
      <c r="P256" s="60">
        <v>70000</v>
      </c>
      <c r="Q256" s="37">
        <f>R256+S256+T256+U256+V256</f>
        <v>0</v>
      </c>
      <c r="R256" s="37"/>
      <c r="S256" s="37"/>
      <c r="T256" s="37"/>
      <c r="U256" s="37"/>
      <c r="V256" s="37"/>
      <c r="W256" s="183">
        <v>70000</v>
      </c>
      <c r="X256" s="320"/>
      <c r="Y256" s="320"/>
      <c r="Z256" s="353"/>
      <c r="AA256" s="37">
        <v>70000</v>
      </c>
      <c r="AB256" s="37">
        <v>70000</v>
      </c>
    </row>
    <row r="257" spans="1:30" s="58" customFormat="1" ht="25.5" x14ac:dyDescent="0.2">
      <c r="A257" s="96" t="s">
        <v>219</v>
      </c>
      <c r="B257" s="97">
        <v>804</v>
      </c>
      <c r="C257" s="98" t="s">
        <v>217</v>
      </c>
      <c r="D257" s="163" t="s">
        <v>138</v>
      </c>
      <c r="E257" s="99" t="s">
        <v>46</v>
      </c>
      <c r="F257" s="98" t="s">
        <v>58</v>
      </c>
      <c r="G257" s="98"/>
      <c r="H257" s="101">
        <f>SUM(H258:H259)</f>
        <v>0</v>
      </c>
      <c r="I257" s="101">
        <f t="shared" ref="I257:N257" si="157">SUM(I258:I259)</f>
        <v>0</v>
      </c>
      <c r="J257" s="101">
        <f t="shared" si="157"/>
        <v>0</v>
      </c>
      <c r="K257" s="101">
        <f t="shared" si="157"/>
        <v>0</v>
      </c>
      <c r="L257" s="101">
        <f t="shared" si="157"/>
        <v>0</v>
      </c>
      <c r="M257" s="101">
        <f t="shared" si="157"/>
        <v>0</v>
      </c>
      <c r="N257" s="101">
        <f t="shared" si="157"/>
        <v>0</v>
      </c>
      <c r="O257" s="101">
        <f>SUM(O258:O259)</f>
        <v>0</v>
      </c>
      <c r="P257" s="158">
        <f>P258+P261</f>
        <v>3341877.62</v>
      </c>
      <c r="Q257" s="158">
        <f t="shared" ref="Q257:V257" si="158">Q258+Q261</f>
        <v>38883</v>
      </c>
      <c r="R257" s="158">
        <f t="shared" si="158"/>
        <v>25251</v>
      </c>
      <c r="S257" s="158">
        <f t="shared" si="158"/>
        <v>0</v>
      </c>
      <c r="T257" s="158">
        <f t="shared" si="158"/>
        <v>0</v>
      </c>
      <c r="U257" s="158">
        <f t="shared" si="158"/>
        <v>0</v>
      </c>
      <c r="V257" s="158">
        <f t="shared" si="158"/>
        <v>13632</v>
      </c>
      <c r="W257" s="158">
        <f>W258+W261</f>
        <v>518699.69</v>
      </c>
      <c r="X257" s="321"/>
      <c r="Y257" s="321"/>
      <c r="Z257" s="356"/>
      <c r="AA257" s="158">
        <f>AA258+AA261</f>
        <v>0</v>
      </c>
      <c r="AB257" s="158">
        <f>AB258+AB261</f>
        <v>518699.69</v>
      </c>
    </row>
    <row r="258" spans="1:30" ht="25.5" hidden="1" x14ac:dyDescent="0.2">
      <c r="A258" s="44" t="s">
        <v>398</v>
      </c>
      <c r="B258" s="45"/>
      <c r="C258" s="14"/>
      <c r="D258" s="143" t="s">
        <v>138</v>
      </c>
      <c r="E258" s="15" t="s">
        <v>46</v>
      </c>
      <c r="F258" s="14" t="s">
        <v>58</v>
      </c>
      <c r="G258" s="14" t="s">
        <v>64</v>
      </c>
      <c r="H258" s="37">
        <v>0</v>
      </c>
      <c r="I258" s="37">
        <f>SUM(J258:M258)</f>
        <v>0</v>
      </c>
      <c r="J258" s="37"/>
      <c r="K258" s="38"/>
      <c r="L258" s="38"/>
      <c r="M258" s="38"/>
      <c r="N258" s="39">
        <f>H258+I258</f>
        <v>0</v>
      </c>
      <c r="O258" s="37">
        <v>0</v>
      </c>
      <c r="P258" s="60">
        <v>2858000</v>
      </c>
      <c r="Q258" s="37">
        <f>R258+S258+T258+U258+V258</f>
        <v>0</v>
      </c>
      <c r="R258" s="37"/>
      <c r="S258" s="37"/>
      <c r="T258" s="37"/>
      <c r="U258" s="37"/>
      <c r="V258" s="37"/>
      <c r="W258" s="183">
        <v>0</v>
      </c>
      <c r="X258" s="320"/>
      <c r="Y258" s="320"/>
      <c r="Z258" s="353"/>
      <c r="AA258" s="37"/>
      <c r="AB258" s="183">
        <v>0</v>
      </c>
    </row>
    <row r="259" spans="1:30" ht="25.5" hidden="1" x14ac:dyDescent="0.2">
      <c r="A259" s="44" t="s">
        <v>220</v>
      </c>
      <c r="B259" s="45"/>
      <c r="C259" s="14"/>
      <c r="D259" s="14" t="s">
        <v>221</v>
      </c>
      <c r="E259" s="15" t="s">
        <v>222</v>
      </c>
      <c r="F259" s="14" t="s">
        <v>58</v>
      </c>
      <c r="G259" s="14" t="s">
        <v>64</v>
      </c>
      <c r="H259" s="37">
        <v>0</v>
      </c>
      <c r="I259" s="37">
        <f>SUM(J259:M259)</f>
        <v>0</v>
      </c>
      <c r="J259" s="37"/>
      <c r="K259" s="38"/>
      <c r="L259" s="38">
        <v>0</v>
      </c>
      <c r="M259" s="38"/>
      <c r="N259" s="39">
        <f>H259+I259</f>
        <v>0</v>
      </c>
      <c r="O259" s="37">
        <v>0</v>
      </c>
      <c r="P259" s="60">
        <v>0</v>
      </c>
      <c r="Q259" s="37">
        <f>R259+S259+T259+U259</f>
        <v>0</v>
      </c>
      <c r="R259" s="37"/>
      <c r="S259" s="37"/>
      <c r="T259" s="37"/>
      <c r="U259" s="37"/>
      <c r="V259" s="37"/>
      <c r="W259" s="183">
        <f t="shared" ref="W259:W260" si="159">P259+Q259</f>
        <v>0</v>
      </c>
      <c r="X259" s="320"/>
      <c r="Y259" s="320"/>
      <c r="Z259" s="353"/>
      <c r="AA259" s="37"/>
      <c r="AB259" s="183">
        <f t="shared" ref="AB259:AB260" si="160">U259+V259</f>
        <v>0</v>
      </c>
    </row>
    <row r="260" spans="1:30" ht="25.5" hidden="1" x14ac:dyDescent="0.2">
      <c r="A260" s="164" t="s">
        <v>219</v>
      </c>
      <c r="B260" s="47">
        <v>804</v>
      </c>
      <c r="C260" s="14" t="s">
        <v>217</v>
      </c>
      <c r="D260" s="14" t="s">
        <v>138</v>
      </c>
      <c r="E260" s="15" t="s">
        <v>46</v>
      </c>
      <c r="F260" s="14" t="s">
        <v>58</v>
      </c>
      <c r="G260" s="14" t="s">
        <v>64</v>
      </c>
      <c r="H260" s="37"/>
      <c r="I260" s="37"/>
      <c r="J260" s="37"/>
      <c r="K260" s="38"/>
      <c r="L260" s="38"/>
      <c r="M260" s="38"/>
      <c r="N260" s="39"/>
      <c r="O260" s="37"/>
      <c r="P260" s="60">
        <v>0</v>
      </c>
      <c r="Q260" s="37">
        <f>R260+S260+T260+U260</f>
        <v>0</v>
      </c>
      <c r="R260" s="37"/>
      <c r="S260" s="37"/>
      <c r="T260" s="37"/>
      <c r="U260" s="37"/>
      <c r="V260" s="37"/>
      <c r="W260" s="183">
        <f t="shared" si="159"/>
        <v>0</v>
      </c>
      <c r="X260" s="320"/>
      <c r="Y260" s="320"/>
      <c r="Z260" s="353"/>
      <c r="AA260" s="37"/>
      <c r="AB260" s="183">
        <f t="shared" si="160"/>
        <v>0</v>
      </c>
    </row>
    <row r="261" spans="1:30" ht="25.5" x14ac:dyDescent="0.2">
      <c r="A261" s="29" t="s">
        <v>24</v>
      </c>
      <c r="B261" s="47"/>
      <c r="C261" s="14"/>
      <c r="D261" s="49" t="s">
        <v>138</v>
      </c>
      <c r="E261" s="50" t="s">
        <v>510</v>
      </c>
      <c r="F261" s="49" t="s">
        <v>25</v>
      </c>
      <c r="G261" s="49"/>
      <c r="H261" s="51"/>
      <c r="I261" s="51"/>
      <c r="J261" s="51"/>
      <c r="K261" s="52"/>
      <c r="L261" s="52"/>
      <c r="M261" s="52"/>
      <c r="N261" s="53"/>
      <c r="O261" s="51"/>
      <c r="P261" s="282">
        <f>P262+P266+P265+P263+P267+P264+P268</f>
        <v>483877.62</v>
      </c>
      <c r="Q261" s="282">
        <f t="shared" ref="Q261:V261" si="161">Q262+Q266+Q265+Q263+Q267+Q264+Q268</f>
        <v>38883</v>
      </c>
      <c r="R261" s="282">
        <f t="shared" si="161"/>
        <v>25251</v>
      </c>
      <c r="S261" s="282">
        <f t="shared" si="161"/>
        <v>0</v>
      </c>
      <c r="T261" s="282">
        <f t="shared" si="161"/>
        <v>0</v>
      </c>
      <c r="U261" s="282">
        <f t="shared" si="161"/>
        <v>0</v>
      </c>
      <c r="V261" s="282">
        <f t="shared" si="161"/>
        <v>13632</v>
      </c>
      <c r="W261" s="352">
        <f>W262+W266</f>
        <v>518699.69</v>
      </c>
      <c r="X261" s="320"/>
      <c r="Y261" s="320"/>
      <c r="Z261" s="353"/>
      <c r="AA261" s="37"/>
      <c r="AB261" s="352">
        <f>AB262+AB266</f>
        <v>518699.69</v>
      </c>
      <c r="AD261" s="43"/>
    </row>
    <row r="262" spans="1:30" x14ac:dyDescent="0.2">
      <c r="A262" s="12" t="s">
        <v>26</v>
      </c>
      <c r="B262" s="47"/>
      <c r="C262" s="14"/>
      <c r="D262" s="14" t="s">
        <v>138</v>
      </c>
      <c r="E262" s="15" t="s">
        <v>282</v>
      </c>
      <c r="F262" s="14" t="s">
        <v>27</v>
      </c>
      <c r="G262" s="14"/>
      <c r="H262" s="37"/>
      <c r="I262" s="37"/>
      <c r="J262" s="37"/>
      <c r="K262" s="38"/>
      <c r="L262" s="38"/>
      <c r="M262" s="38"/>
      <c r="N262" s="39"/>
      <c r="O262" s="37"/>
      <c r="P262" s="60">
        <v>371641.8</v>
      </c>
      <c r="Q262" s="37">
        <f t="shared" ref="Q262:Q268" si="162">R262+S262+T262+U262+V262</f>
        <v>0</v>
      </c>
      <c r="R262" s="37"/>
      <c r="S262" s="37"/>
      <c r="T262" s="37"/>
      <c r="U262" s="37"/>
      <c r="V262" s="37"/>
      <c r="W262" s="183">
        <v>398386.86</v>
      </c>
      <c r="X262" s="320"/>
      <c r="Y262" s="320"/>
      <c r="Z262" s="353"/>
      <c r="AA262" s="37"/>
      <c r="AB262" s="183">
        <v>398386.86</v>
      </c>
      <c r="AD262" s="43"/>
    </row>
    <row r="263" spans="1:30" hidden="1" x14ac:dyDescent="0.2">
      <c r="A263" s="12" t="s">
        <v>440</v>
      </c>
      <c r="B263" s="47"/>
      <c r="C263" s="14"/>
      <c r="D263" s="14" t="s">
        <v>523</v>
      </c>
      <c r="E263" s="15" t="s">
        <v>282</v>
      </c>
      <c r="F263" s="14" t="s">
        <v>27</v>
      </c>
      <c r="G263" s="14"/>
      <c r="H263" s="37"/>
      <c r="I263" s="37"/>
      <c r="J263" s="37"/>
      <c r="K263" s="38"/>
      <c r="L263" s="38"/>
      <c r="M263" s="38"/>
      <c r="N263" s="39"/>
      <c r="O263" s="37"/>
      <c r="P263" s="60">
        <v>0</v>
      </c>
      <c r="Q263" s="37">
        <f t="shared" si="162"/>
        <v>10470</v>
      </c>
      <c r="R263" s="37"/>
      <c r="S263" s="37"/>
      <c r="T263" s="37"/>
      <c r="U263" s="37"/>
      <c r="V263" s="37">
        <v>10470</v>
      </c>
      <c r="W263" s="183">
        <v>0</v>
      </c>
      <c r="X263" s="320"/>
      <c r="Y263" s="320"/>
      <c r="Z263" s="353"/>
      <c r="AA263" s="37"/>
      <c r="AB263" s="183">
        <v>0</v>
      </c>
    </row>
    <row r="264" spans="1:30" hidden="1" x14ac:dyDescent="0.2">
      <c r="A264" s="12" t="s">
        <v>26</v>
      </c>
      <c r="B264" s="47"/>
      <c r="C264" s="14"/>
      <c r="D264" s="14" t="s">
        <v>524</v>
      </c>
      <c r="E264" s="15" t="s">
        <v>282</v>
      </c>
      <c r="F264" s="14" t="s">
        <v>27</v>
      </c>
      <c r="G264" s="14"/>
      <c r="H264" s="37"/>
      <c r="I264" s="37"/>
      <c r="J264" s="37"/>
      <c r="K264" s="38"/>
      <c r="L264" s="38"/>
      <c r="M264" s="38"/>
      <c r="N264" s="39"/>
      <c r="O264" s="37"/>
      <c r="P264" s="60">
        <v>0</v>
      </c>
      <c r="Q264" s="37">
        <f t="shared" si="162"/>
        <v>890.94</v>
      </c>
      <c r="R264" s="37">
        <v>890.94</v>
      </c>
      <c r="S264" s="37"/>
      <c r="T264" s="37"/>
      <c r="U264" s="37"/>
      <c r="V264" s="37"/>
      <c r="W264" s="183">
        <v>0</v>
      </c>
      <c r="X264" s="320"/>
      <c r="Y264" s="320"/>
      <c r="Z264" s="353"/>
      <c r="AA264" s="37"/>
      <c r="AB264" s="183">
        <v>0</v>
      </c>
    </row>
    <row r="265" spans="1:30" hidden="1" x14ac:dyDescent="0.2">
      <c r="A265" s="46" t="s">
        <v>39</v>
      </c>
      <c r="B265" s="47"/>
      <c r="C265" s="14"/>
      <c r="D265" s="14" t="s">
        <v>138</v>
      </c>
      <c r="E265" s="15" t="s">
        <v>283</v>
      </c>
      <c r="F265" s="14" t="s">
        <v>85</v>
      </c>
      <c r="G265" s="14" t="s">
        <v>40</v>
      </c>
      <c r="H265" s="37"/>
      <c r="I265" s="37"/>
      <c r="J265" s="37"/>
      <c r="K265" s="38"/>
      <c r="L265" s="38"/>
      <c r="M265" s="38"/>
      <c r="N265" s="39"/>
      <c r="O265" s="37"/>
      <c r="P265" s="60">
        <v>0</v>
      </c>
      <c r="Q265" s="37">
        <f t="shared" si="162"/>
        <v>24091</v>
      </c>
      <c r="R265" s="37">
        <v>24091</v>
      </c>
      <c r="S265" s="37"/>
      <c r="T265" s="37"/>
      <c r="U265" s="37"/>
      <c r="V265" s="37"/>
      <c r="W265" s="183">
        <v>0</v>
      </c>
      <c r="X265" s="320"/>
      <c r="Y265" s="320"/>
      <c r="Z265" s="353"/>
      <c r="AA265" s="37"/>
      <c r="AB265" s="183">
        <v>0</v>
      </c>
    </row>
    <row r="266" spans="1:30" x14ac:dyDescent="0.2">
      <c r="A266" s="164" t="s">
        <v>28</v>
      </c>
      <c r="B266" s="47"/>
      <c r="C266" s="14"/>
      <c r="D266" s="14" t="s">
        <v>138</v>
      </c>
      <c r="E266" s="15" t="s">
        <v>285</v>
      </c>
      <c r="F266" s="14" t="s">
        <v>30</v>
      </c>
      <c r="G266" s="14"/>
      <c r="H266" s="37"/>
      <c r="I266" s="37"/>
      <c r="J266" s="37"/>
      <c r="K266" s="38"/>
      <c r="L266" s="38"/>
      <c r="M266" s="38"/>
      <c r="N266" s="39"/>
      <c r="O266" s="37"/>
      <c r="P266" s="60">
        <v>112235.82</v>
      </c>
      <c r="Q266" s="37">
        <f t="shared" si="162"/>
        <v>0</v>
      </c>
      <c r="R266" s="37"/>
      <c r="S266" s="37"/>
      <c r="T266" s="37"/>
      <c r="U266" s="37"/>
      <c r="V266" s="37"/>
      <c r="W266" s="183">
        <v>120312.83</v>
      </c>
      <c r="X266" s="320"/>
      <c r="Y266" s="320"/>
      <c r="Z266" s="353"/>
      <c r="AA266" s="37"/>
      <c r="AB266" s="183">
        <v>120312.83</v>
      </c>
    </row>
    <row r="267" spans="1:30" hidden="1" x14ac:dyDescent="0.2">
      <c r="A267" s="164" t="s">
        <v>442</v>
      </c>
      <c r="B267" s="47"/>
      <c r="C267" s="14"/>
      <c r="D267" s="14" t="s">
        <v>523</v>
      </c>
      <c r="E267" s="15" t="s">
        <v>29</v>
      </c>
      <c r="F267" s="14" t="s">
        <v>30</v>
      </c>
      <c r="G267" s="14"/>
      <c r="H267" s="37"/>
      <c r="I267" s="37"/>
      <c r="J267" s="37"/>
      <c r="K267" s="38"/>
      <c r="L267" s="38"/>
      <c r="M267" s="38"/>
      <c r="N267" s="39"/>
      <c r="O267" s="37"/>
      <c r="P267" s="60">
        <v>0</v>
      </c>
      <c r="Q267" s="37">
        <f t="shared" si="162"/>
        <v>3162</v>
      </c>
      <c r="R267" s="37"/>
      <c r="S267" s="37"/>
      <c r="T267" s="37"/>
      <c r="U267" s="37"/>
      <c r="V267" s="37">
        <v>3162</v>
      </c>
      <c r="W267" s="381">
        <v>0</v>
      </c>
      <c r="X267" s="320"/>
      <c r="Y267" s="320"/>
      <c r="Z267" s="353"/>
      <c r="AA267" s="37"/>
      <c r="AB267" s="381">
        <v>0</v>
      </c>
    </row>
    <row r="268" spans="1:30" hidden="1" x14ac:dyDescent="0.2">
      <c r="A268" s="164" t="s">
        <v>28</v>
      </c>
      <c r="B268" s="47"/>
      <c r="C268" s="14"/>
      <c r="D268" s="14" t="s">
        <v>524</v>
      </c>
      <c r="E268" s="15" t="s">
        <v>285</v>
      </c>
      <c r="F268" s="14" t="s">
        <v>30</v>
      </c>
      <c r="G268" s="14"/>
      <c r="H268" s="37"/>
      <c r="I268" s="37"/>
      <c r="J268" s="37"/>
      <c r="K268" s="38"/>
      <c r="L268" s="38"/>
      <c r="M268" s="38"/>
      <c r="N268" s="39"/>
      <c r="O268" s="37"/>
      <c r="P268" s="60">
        <v>0</v>
      </c>
      <c r="Q268" s="37">
        <f t="shared" si="162"/>
        <v>269.06</v>
      </c>
      <c r="R268" s="37">
        <v>269.06</v>
      </c>
      <c r="S268" s="37"/>
      <c r="T268" s="37"/>
      <c r="U268" s="37"/>
      <c r="V268" s="37"/>
      <c r="W268" s="381">
        <v>0</v>
      </c>
      <c r="X268" s="320"/>
      <c r="Y268" s="320"/>
      <c r="Z268" s="353"/>
      <c r="AA268" s="37"/>
      <c r="AB268" s="381">
        <v>0</v>
      </c>
    </row>
    <row r="269" spans="1:30" x14ac:dyDescent="0.2">
      <c r="A269" s="165" t="s">
        <v>223</v>
      </c>
      <c r="B269" s="166"/>
      <c r="C269" s="19" t="s">
        <v>224</v>
      </c>
      <c r="D269" s="128" t="s">
        <v>18</v>
      </c>
      <c r="E269" s="20" t="s">
        <v>19</v>
      </c>
      <c r="F269" s="19"/>
      <c r="G269" s="19"/>
      <c r="H269" s="21">
        <f t="shared" ref="H269:W269" si="163">H270+H347</f>
        <v>12504702.07</v>
      </c>
      <c r="I269" s="21" t="e">
        <f t="shared" si="163"/>
        <v>#REF!</v>
      </c>
      <c r="J269" s="21" t="e">
        <f t="shared" si="163"/>
        <v>#REF!</v>
      </c>
      <c r="K269" s="122" t="e">
        <f t="shared" si="163"/>
        <v>#REF!</v>
      </c>
      <c r="L269" s="122" t="e">
        <f t="shared" si="163"/>
        <v>#REF!</v>
      </c>
      <c r="M269" s="122" t="e">
        <f t="shared" si="163"/>
        <v>#REF!</v>
      </c>
      <c r="N269" s="123" t="e">
        <f t="shared" si="163"/>
        <v>#REF!</v>
      </c>
      <c r="O269" s="21">
        <f t="shared" si="163"/>
        <v>8214751.6940000001</v>
      </c>
      <c r="P269" s="279">
        <f t="shared" si="163"/>
        <v>37267303.379999995</v>
      </c>
      <c r="Q269" s="279">
        <f t="shared" si="163"/>
        <v>-6146.5</v>
      </c>
      <c r="R269" s="279">
        <f t="shared" si="163"/>
        <v>-54616.5</v>
      </c>
      <c r="S269" s="279">
        <f t="shared" si="163"/>
        <v>48470</v>
      </c>
      <c r="T269" s="279">
        <f t="shared" si="163"/>
        <v>0</v>
      </c>
      <c r="U269" s="279">
        <f t="shared" si="163"/>
        <v>0</v>
      </c>
      <c r="V269" s="279">
        <f t="shared" si="163"/>
        <v>0</v>
      </c>
      <c r="W269" s="279">
        <f t="shared" si="163"/>
        <v>7701940.6699999999</v>
      </c>
      <c r="X269" s="320"/>
      <c r="Y269" s="320"/>
      <c r="Z269" s="353"/>
      <c r="AA269" s="279">
        <f>AA270+AA347</f>
        <v>1126324.21</v>
      </c>
      <c r="AB269" s="279">
        <f t="shared" ref="AB269" si="164">AB270+AB347</f>
        <v>7701940.6699999999</v>
      </c>
    </row>
    <row r="270" spans="1:30" x14ac:dyDescent="0.2">
      <c r="A270" s="40" t="s">
        <v>225</v>
      </c>
      <c r="B270" s="41"/>
      <c r="C270" s="24" t="s">
        <v>224</v>
      </c>
      <c r="D270" s="98" t="s">
        <v>18</v>
      </c>
      <c r="E270" s="25" t="s">
        <v>19</v>
      </c>
      <c r="F270" s="24"/>
      <c r="G270" s="24"/>
      <c r="H270" s="26">
        <f>H271+H306</f>
        <v>8273916.8599999994</v>
      </c>
      <c r="I270" s="26" t="e">
        <f>I271+I306+#REF!+#REF!+#REF!+#REF!+#REF!</f>
        <v>#REF!</v>
      </c>
      <c r="J270" s="26" t="e">
        <f>J271+J306+#REF!+#REF!+#REF!+#REF!+#REF!</f>
        <v>#REF!</v>
      </c>
      <c r="K270" s="26" t="e">
        <f>K271+K306+#REF!+#REF!+#REF!+#REF!+#REF!</f>
        <v>#REF!</v>
      </c>
      <c r="L270" s="26" t="e">
        <f>L271+L306+#REF!+#REF!+#REF!+#REF!+#REF!</f>
        <v>#REF!</v>
      </c>
      <c r="M270" s="26" t="e">
        <f>M271+M306+#REF!+#REF!+#REF!+#REF!+#REF!</f>
        <v>#REF!</v>
      </c>
      <c r="N270" s="26" t="e">
        <f>N271+N306+#REF!+#REF!+#REF!+#REF!+#REF!</f>
        <v>#REF!</v>
      </c>
      <c r="O270" s="26">
        <f t="shared" ref="O270:W270" si="165">O271+O306</f>
        <v>4059076.4839999997</v>
      </c>
      <c r="P270" s="280">
        <f t="shared" si="165"/>
        <v>33114629.869999997</v>
      </c>
      <c r="Q270" s="280">
        <f t="shared" si="165"/>
        <v>58470</v>
      </c>
      <c r="R270" s="280">
        <f t="shared" si="165"/>
        <v>10000</v>
      </c>
      <c r="S270" s="280">
        <f t="shared" si="165"/>
        <v>48470</v>
      </c>
      <c r="T270" s="280">
        <f t="shared" si="165"/>
        <v>0</v>
      </c>
      <c r="U270" s="280">
        <f t="shared" si="165"/>
        <v>0</v>
      </c>
      <c r="V270" s="280">
        <f t="shared" si="165"/>
        <v>0</v>
      </c>
      <c r="W270" s="280">
        <f t="shared" si="165"/>
        <v>3054378.67</v>
      </c>
      <c r="X270" s="320"/>
      <c r="Y270" s="320"/>
      <c r="Z270" s="353"/>
      <c r="AA270" s="280">
        <f>AA271+AA306</f>
        <v>1126324.21</v>
      </c>
      <c r="AB270" s="280">
        <f t="shared" ref="AB270" si="166">AB271+AB306</f>
        <v>3054378.67</v>
      </c>
    </row>
    <row r="271" spans="1:30" x14ac:dyDescent="0.2">
      <c r="A271" s="40" t="s">
        <v>41</v>
      </c>
      <c r="B271" s="41"/>
      <c r="C271" s="24" t="s">
        <v>226</v>
      </c>
      <c r="D271" s="98" t="s">
        <v>18</v>
      </c>
      <c r="E271" s="25" t="s">
        <v>19</v>
      </c>
      <c r="F271" s="24" t="s">
        <v>42</v>
      </c>
      <c r="G271" s="24"/>
      <c r="H271" s="26">
        <f t="shared" ref="H271:O271" si="167">H272+H283+H285+H294</f>
        <v>639714.98</v>
      </c>
      <c r="I271" s="26">
        <f t="shared" si="167"/>
        <v>30298686.759999998</v>
      </c>
      <c r="J271" s="26">
        <f t="shared" si="167"/>
        <v>0</v>
      </c>
      <c r="K271" s="26">
        <f t="shared" si="167"/>
        <v>25089156.629999999</v>
      </c>
      <c r="L271" s="26">
        <f t="shared" si="167"/>
        <v>4612929.17</v>
      </c>
      <c r="M271" s="26">
        <f t="shared" si="167"/>
        <v>596600.96</v>
      </c>
      <c r="N271" s="26">
        <f t="shared" si="167"/>
        <v>30938401.739999998</v>
      </c>
      <c r="O271" s="26">
        <f t="shared" si="167"/>
        <v>639714.98</v>
      </c>
      <c r="P271" s="280">
        <f>P272+P283+P294</f>
        <v>20138207</v>
      </c>
      <c r="Q271" s="280">
        <f t="shared" ref="Q271:W271" si="168">Q272+Q294+Q283</f>
        <v>0</v>
      </c>
      <c r="R271" s="280">
        <f t="shared" si="168"/>
        <v>0</v>
      </c>
      <c r="S271" s="280">
        <f t="shared" si="168"/>
        <v>0</v>
      </c>
      <c r="T271" s="280">
        <f t="shared" si="168"/>
        <v>0</v>
      </c>
      <c r="U271" s="280">
        <f t="shared" si="168"/>
        <v>0</v>
      </c>
      <c r="V271" s="280">
        <f t="shared" si="168"/>
        <v>0</v>
      </c>
      <c r="W271" s="280">
        <f t="shared" si="168"/>
        <v>1500000</v>
      </c>
      <c r="X271" s="320"/>
      <c r="Y271" s="320"/>
      <c r="Z271" s="353"/>
      <c r="AA271" s="280">
        <f>AA272+AA294+AA283</f>
        <v>671111.71</v>
      </c>
      <c r="AB271" s="280">
        <f t="shared" ref="AB271" si="169">AB272+AB294+AB283</f>
        <v>1500000</v>
      </c>
    </row>
    <row r="272" spans="1:30" x14ac:dyDescent="0.2">
      <c r="A272" s="29" t="s">
        <v>50</v>
      </c>
      <c r="B272" s="30"/>
      <c r="C272" s="31" t="s">
        <v>226</v>
      </c>
      <c r="D272" s="31" t="s">
        <v>227</v>
      </c>
      <c r="E272" s="32" t="s">
        <v>46</v>
      </c>
      <c r="F272" s="31" t="s">
        <v>51</v>
      </c>
      <c r="G272" s="31"/>
      <c r="H272" s="33">
        <f t="shared" ref="H272:O272" si="170">SUM(H273:H281)</f>
        <v>639714.98</v>
      </c>
      <c r="I272" s="33">
        <f t="shared" si="170"/>
        <v>5209530.13</v>
      </c>
      <c r="J272" s="33">
        <f t="shared" si="170"/>
        <v>0</v>
      </c>
      <c r="K272" s="33">
        <f t="shared" si="170"/>
        <v>0</v>
      </c>
      <c r="L272" s="33">
        <f t="shared" si="170"/>
        <v>4612929.17</v>
      </c>
      <c r="M272" s="33">
        <f t="shared" si="170"/>
        <v>596600.96</v>
      </c>
      <c r="N272" s="33">
        <f t="shared" si="170"/>
        <v>5849245.1099999994</v>
      </c>
      <c r="O272" s="33">
        <f t="shared" si="170"/>
        <v>639714.98</v>
      </c>
      <c r="P272" s="281">
        <f t="shared" ref="P272:W272" si="171">P278+P279+P281+P287+P288+P289+P290+P291+P280+P275+P282+P277</f>
        <v>11500000</v>
      </c>
      <c r="Q272" s="281">
        <f t="shared" si="171"/>
        <v>0</v>
      </c>
      <c r="R272" s="281">
        <f t="shared" si="171"/>
        <v>0</v>
      </c>
      <c r="S272" s="281">
        <f t="shared" si="171"/>
        <v>0</v>
      </c>
      <c r="T272" s="281">
        <f t="shared" si="171"/>
        <v>0</v>
      </c>
      <c r="U272" s="281">
        <f t="shared" si="171"/>
        <v>0</v>
      </c>
      <c r="V272" s="281">
        <f t="shared" si="171"/>
        <v>0</v>
      </c>
      <c r="W272" s="281">
        <f t="shared" si="171"/>
        <v>1500000</v>
      </c>
      <c r="X272" s="320"/>
      <c r="Y272" s="320"/>
      <c r="Z272" s="353"/>
      <c r="AA272" s="281">
        <f>AA278+AA279+AA281+AA287+AA288+AA289+AA290+AA291+AA280+AA275+AA282+AA277</f>
        <v>671111.71</v>
      </c>
      <c r="AB272" s="281">
        <f t="shared" ref="AB272" si="172">AB278+AB279+AB281+AB287+AB288+AB289+AB290+AB291+AB280+AB275+AB282+AB277</f>
        <v>1500000</v>
      </c>
    </row>
    <row r="273" spans="1:28" ht="25.5" hidden="1" x14ac:dyDescent="0.2">
      <c r="A273" s="167" t="s">
        <v>228</v>
      </c>
      <c r="B273" s="30"/>
      <c r="C273" s="36"/>
      <c r="D273" s="36" t="s">
        <v>229</v>
      </c>
      <c r="E273" s="77" t="s">
        <v>46</v>
      </c>
      <c r="F273" s="36" t="s">
        <v>51</v>
      </c>
      <c r="G273" s="36" t="s">
        <v>56</v>
      </c>
      <c r="H273" s="78">
        <v>0</v>
      </c>
      <c r="I273" s="37">
        <f t="shared" ref="I273:I281" si="173">SUM(J273:M273)</f>
        <v>0</v>
      </c>
      <c r="J273" s="78"/>
      <c r="K273" s="79"/>
      <c r="L273" s="79">
        <v>0</v>
      </c>
      <c r="M273" s="79"/>
      <c r="N273" s="39">
        <f t="shared" ref="N273:N281" si="174">H273+I273</f>
        <v>0</v>
      </c>
      <c r="O273" s="78">
        <v>0</v>
      </c>
      <c r="P273" s="74">
        <v>0</v>
      </c>
      <c r="Q273" s="78"/>
      <c r="R273" s="78"/>
      <c r="S273" s="78"/>
      <c r="T273" s="78"/>
      <c r="U273" s="78"/>
      <c r="V273" s="78"/>
      <c r="W273" s="37"/>
      <c r="X273" s="320"/>
      <c r="Y273" s="320"/>
      <c r="Z273" s="353"/>
      <c r="AA273" s="78"/>
      <c r="AB273" s="37"/>
    </row>
    <row r="274" spans="1:28" ht="25.5" hidden="1" x14ac:dyDescent="0.2">
      <c r="A274" s="167" t="s">
        <v>230</v>
      </c>
      <c r="B274" s="76"/>
      <c r="C274" s="36"/>
      <c r="D274" s="36" t="s">
        <v>229</v>
      </c>
      <c r="E274" s="77" t="s">
        <v>46</v>
      </c>
      <c r="F274" s="36" t="s">
        <v>51</v>
      </c>
      <c r="G274" s="36" t="s">
        <v>56</v>
      </c>
      <c r="H274" s="78">
        <v>0</v>
      </c>
      <c r="I274" s="37">
        <f t="shared" si="173"/>
        <v>0</v>
      </c>
      <c r="J274" s="78">
        <v>0</v>
      </c>
      <c r="K274" s="79"/>
      <c r="L274" s="79">
        <v>0</v>
      </c>
      <c r="M274" s="79">
        <v>0</v>
      </c>
      <c r="N274" s="39">
        <f t="shared" si="174"/>
        <v>0</v>
      </c>
      <c r="O274" s="78">
        <v>0</v>
      </c>
      <c r="P274" s="74">
        <v>0</v>
      </c>
      <c r="Q274" s="78"/>
      <c r="R274" s="78"/>
      <c r="S274" s="78"/>
      <c r="T274" s="78"/>
      <c r="U274" s="78"/>
      <c r="V274" s="78"/>
      <c r="W274" s="37"/>
      <c r="X274" s="320"/>
      <c r="Y274" s="320"/>
      <c r="Z274" s="353"/>
      <c r="AA274" s="78"/>
      <c r="AB274" s="37"/>
    </row>
    <row r="275" spans="1:28" ht="38.25" hidden="1" x14ac:dyDescent="0.2">
      <c r="A275" s="167" t="s">
        <v>420</v>
      </c>
      <c r="B275" s="76"/>
      <c r="C275" s="36"/>
      <c r="D275" s="36" t="s">
        <v>234</v>
      </c>
      <c r="E275" s="77" t="s">
        <v>141</v>
      </c>
      <c r="F275" s="36" t="s">
        <v>51</v>
      </c>
      <c r="G275" s="36" t="s">
        <v>56</v>
      </c>
      <c r="H275" s="78">
        <v>0</v>
      </c>
      <c r="I275" s="37">
        <f t="shared" si="173"/>
        <v>0</v>
      </c>
      <c r="J275" s="78">
        <v>0</v>
      </c>
      <c r="K275" s="79"/>
      <c r="L275" s="79">
        <v>0</v>
      </c>
      <c r="M275" s="79">
        <v>0</v>
      </c>
      <c r="N275" s="39">
        <f t="shared" si="174"/>
        <v>0</v>
      </c>
      <c r="O275" s="78">
        <v>0</v>
      </c>
      <c r="P275" s="74">
        <v>0</v>
      </c>
      <c r="Q275" s="78">
        <f t="shared" ref="Q275:Q280" si="175">R275+S275+T275+U275</f>
        <v>0</v>
      </c>
      <c r="R275" s="78"/>
      <c r="S275" s="78"/>
      <c r="T275" s="78">
        <v>0</v>
      </c>
      <c r="U275" s="78"/>
      <c r="V275" s="78"/>
      <c r="W275" s="37">
        <f t="shared" ref="W275:W280" si="176">P275+Q275</f>
        <v>0</v>
      </c>
      <c r="X275" s="320"/>
      <c r="Y275" s="320"/>
      <c r="Z275" s="353"/>
      <c r="AA275" s="78"/>
      <c r="AB275" s="37">
        <f t="shared" ref="AB275:AB280" si="177">U275+V275</f>
        <v>0</v>
      </c>
    </row>
    <row r="276" spans="1:28" ht="38.25" hidden="1" x14ac:dyDescent="0.2">
      <c r="A276" s="167" t="s">
        <v>421</v>
      </c>
      <c r="B276" s="76"/>
      <c r="C276" s="36"/>
      <c r="D276" s="36" t="s">
        <v>229</v>
      </c>
      <c r="E276" s="77" t="s">
        <v>141</v>
      </c>
      <c r="F276" s="36" t="s">
        <v>51</v>
      </c>
      <c r="G276" s="36" t="s">
        <v>56</v>
      </c>
      <c r="H276" s="78">
        <v>0</v>
      </c>
      <c r="I276" s="37">
        <f t="shared" si="173"/>
        <v>0</v>
      </c>
      <c r="J276" s="78">
        <v>0</v>
      </c>
      <c r="K276" s="79">
        <v>0</v>
      </c>
      <c r="L276" s="79">
        <v>0</v>
      </c>
      <c r="M276" s="79">
        <v>0</v>
      </c>
      <c r="N276" s="39">
        <f t="shared" si="174"/>
        <v>0</v>
      </c>
      <c r="O276" s="78">
        <v>0</v>
      </c>
      <c r="P276" s="74">
        <v>0</v>
      </c>
      <c r="Q276" s="78">
        <f t="shared" si="175"/>
        <v>0</v>
      </c>
      <c r="R276" s="78"/>
      <c r="S276" s="78"/>
      <c r="T276" s="78"/>
      <c r="U276" s="78"/>
      <c r="V276" s="78"/>
      <c r="W276" s="37">
        <f t="shared" si="176"/>
        <v>0</v>
      </c>
      <c r="X276" s="320"/>
      <c r="Y276" s="320"/>
      <c r="Z276" s="353"/>
      <c r="AA276" s="78"/>
      <c r="AB276" s="37">
        <f t="shared" si="177"/>
        <v>0</v>
      </c>
    </row>
    <row r="277" spans="1:28" ht="38.25" hidden="1" x14ac:dyDescent="0.2">
      <c r="A277" s="167" t="s">
        <v>420</v>
      </c>
      <c r="B277" s="76"/>
      <c r="C277" s="36"/>
      <c r="D277" s="36" t="s">
        <v>234</v>
      </c>
      <c r="E277" s="77" t="s">
        <v>46</v>
      </c>
      <c r="F277" s="36" t="s">
        <v>51</v>
      </c>
      <c r="G277" s="36" t="s">
        <v>56</v>
      </c>
      <c r="H277" s="78">
        <v>0</v>
      </c>
      <c r="I277" s="37">
        <f t="shared" si="173"/>
        <v>0</v>
      </c>
      <c r="J277" s="78">
        <v>0</v>
      </c>
      <c r="K277" s="79">
        <v>0</v>
      </c>
      <c r="L277" s="79">
        <v>0</v>
      </c>
      <c r="M277" s="79">
        <v>0</v>
      </c>
      <c r="N277" s="39">
        <f t="shared" si="174"/>
        <v>0</v>
      </c>
      <c r="O277" s="78">
        <v>0</v>
      </c>
      <c r="P277" s="74">
        <v>0</v>
      </c>
      <c r="Q277" s="78">
        <f t="shared" si="175"/>
        <v>0</v>
      </c>
      <c r="R277" s="78"/>
      <c r="S277" s="78"/>
      <c r="T277" s="78">
        <v>0</v>
      </c>
      <c r="U277" s="78"/>
      <c r="V277" s="78"/>
      <c r="W277" s="37">
        <f t="shared" si="176"/>
        <v>0</v>
      </c>
      <c r="X277" s="320"/>
      <c r="Y277" s="320"/>
      <c r="Z277" s="353"/>
      <c r="AA277" s="78"/>
      <c r="AB277" s="37">
        <f t="shared" si="177"/>
        <v>0</v>
      </c>
    </row>
    <row r="278" spans="1:28" ht="25.5" hidden="1" x14ac:dyDescent="0.2">
      <c r="A278" s="95" t="s">
        <v>390</v>
      </c>
      <c r="B278" s="76"/>
      <c r="C278" s="36"/>
      <c r="D278" s="36" t="s">
        <v>234</v>
      </c>
      <c r="E278" s="77" t="s">
        <v>46</v>
      </c>
      <c r="F278" s="36" t="s">
        <v>51</v>
      </c>
      <c r="G278" s="36" t="s">
        <v>56</v>
      </c>
      <c r="H278" s="78">
        <v>0</v>
      </c>
      <c r="I278" s="37">
        <f t="shared" si="173"/>
        <v>0</v>
      </c>
      <c r="J278" s="78">
        <v>0</v>
      </c>
      <c r="K278" s="79">
        <v>0</v>
      </c>
      <c r="L278" s="79">
        <v>0</v>
      </c>
      <c r="M278" s="79">
        <v>0</v>
      </c>
      <c r="N278" s="39">
        <f t="shared" si="174"/>
        <v>0</v>
      </c>
      <c r="O278" s="78">
        <v>0</v>
      </c>
      <c r="P278" s="74">
        <v>0</v>
      </c>
      <c r="Q278" s="78">
        <f t="shared" si="175"/>
        <v>0</v>
      </c>
      <c r="R278" s="78"/>
      <c r="S278" s="78"/>
      <c r="T278" s="78">
        <v>0</v>
      </c>
      <c r="U278" s="78"/>
      <c r="V278" s="78"/>
      <c r="W278" s="37">
        <f t="shared" si="176"/>
        <v>0</v>
      </c>
      <c r="X278" s="320"/>
      <c r="Y278" s="320"/>
      <c r="Z278" s="353"/>
      <c r="AA278" s="78"/>
      <c r="AB278" s="37">
        <f t="shared" si="177"/>
        <v>0</v>
      </c>
    </row>
    <row r="279" spans="1:28" ht="25.5" hidden="1" x14ac:dyDescent="0.2">
      <c r="A279" s="168" t="s">
        <v>391</v>
      </c>
      <c r="B279" s="169"/>
      <c r="C279" s="162"/>
      <c r="D279" s="172" t="s">
        <v>234</v>
      </c>
      <c r="E279" s="170" t="s">
        <v>141</v>
      </c>
      <c r="F279" s="162" t="s">
        <v>51</v>
      </c>
      <c r="G279" s="162" t="s">
        <v>56</v>
      </c>
      <c r="H279" s="78">
        <v>0</v>
      </c>
      <c r="I279" s="37">
        <f t="shared" si="173"/>
        <v>4612929.17</v>
      </c>
      <c r="J279" s="78"/>
      <c r="K279" s="79"/>
      <c r="L279" s="79">
        <v>4612929.17</v>
      </c>
      <c r="M279" s="79"/>
      <c r="N279" s="39">
        <f t="shared" si="174"/>
        <v>4612929.17</v>
      </c>
      <c r="O279" s="78">
        <v>0</v>
      </c>
      <c r="P279" s="74">
        <v>0</v>
      </c>
      <c r="Q279" s="78">
        <f t="shared" si="175"/>
        <v>0</v>
      </c>
      <c r="R279" s="78">
        <v>0</v>
      </c>
      <c r="S279" s="78"/>
      <c r="T279" s="78"/>
      <c r="U279" s="78"/>
      <c r="V279" s="78"/>
      <c r="W279" s="37">
        <f t="shared" si="176"/>
        <v>0</v>
      </c>
      <c r="X279" s="320"/>
      <c r="Y279" s="320"/>
      <c r="Z279" s="353"/>
      <c r="AA279" s="78">
        <v>0</v>
      </c>
      <c r="AB279" s="37">
        <f t="shared" si="177"/>
        <v>0</v>
      </c>
    </row>
    <row r="280" spans="1:28" ht="25.5" hidden="1" x14ac:dyDescent="0.2">
      <c r="A280" s="168" t="s">
        <v>235</v>
      </c>
      <c r="B280" s="169"/>
      <c r="C280" s="162"/>
      <c r="D280" s="172" t="s">
        <v>234</v>
      </c>
      <c r="E280" s="170" t="s">
        <v>141</v>
      </c>
      <c r="F280" s="162" t="s">
        <v>51</v>
      </c>
      <c r="G280" s="162" t="s">
        <v>56</v>
      </c>
      <c r="H280" s="78"/>
      <c r="I280" s="37"/>
      <c r="J280" s="78"/>
      <c r="K280" s="79"/>
      <c r="L280" s="79"/>
      <c r="M280" s="79"/>
      <c r="N280" s="39"/>
      <c r="O280" s="78"/>
      <c r="P280" s="74">
        <v>0</v>
      </c>
      <c r="Q280" s="78">
        <f t="shared" si="175"/>
        <v>0</v>
      </c>
      <c r="R280" s="78"/>
      <c r="S280" s="78"/>
      <c r="T280" s="78"/>
      <c r="U280" s="78"/>
      <c r="V280" s="78"/>
      <c r="W280" s="37">
        <f t="shared" si="176"/>
        <v>0</v>
      </c>
      <c r="X280" s="320"/>
      <c r="Y280" s="320"/>
      <c r="Z280" s="353"/>
      <c r="AA280" s="78"/>
      <c r="AB280" s="37">
        <f t="shared" si="177"/>
        <v>0</v>
      </c>
    </row>
    <row r="281" spans="1:28" s="178" customFormat="1" ht="63.75" x14ac:dyDescent="0.2">
      <c r="A281" s="167" t="s">
        <v>236</v>
      </c>
      <c r="B281" s="169"/>
      <c r="C281" s="171"/>
      <c r="D281" s="172" t="s">
        <v>450</v>
      </c>
      <c r="E281" s="172" t="s">
        <v>46</v>
      </c>
      <c r="F281" s="171" t="s">
        <v>51</v>
      </c>
      <c r="G281" s="171" t="s">
        <v>56</v>
      </c>
      <c r="H281" s="173">
        <f>1200000-560285.02</f>
        <v>639714.98</v>
      </c>
      <c r="I281" s="174">
        <f t="shared" si="173"/>
        <v>596600.96</v>
      </c>
      <c r="J281" s="173"/>
      <c r="K281" s="175"/>
      <c r="L281" s="175"/>
      <c r="M281" s="175">
        <v>596600.96</v>
      </c>
      <c r="N281" s="176">
        <f t="shared" si="174"/>
        <v>1236315.94</v>
      </c>
      <c r="O281" s="173">
        <f>1200000-560285.02</f>
        <v>639714.98</v>
      </c>
      <c r="P281" s="290">
        <v>1000000</v>
      </c>
      <c r="Q281" s="78">
        <f>R281+S281+T281+U281+V281</f>
        <v>0</v>
      </c>
      <c r="R281" s="177"/>
      <c r="S281" s="78"/>
      <c r="T281" s="78"/>
      <c r="U281" s="78">
        <v>0</v>
      </c>
      <c r="V281" s="78"/>
      <c r="W281" s="183">
        <v>1500000</v>
      </c>
      <c r="X281" s="354"/>
      <c r="Y281" s="354"/>
      <c r="Z281" s="355"/>
      <c r="AA281" s="177">
        <v>671111.71</v>
      </c>
      <c r="AB281" s="37">
        <v>1500000</v>
      </c>
    </row>
    <row r="282" spans="1:28" s="178" customFormat="1" ht="38.25" hidden="1" x14ac:dyDescent="0.2">
      <c r="A282" s="168" t="s">
        <v>491</v>
      </c>
      <c r="B282" s="169"/>
      <c r="C282" s="382" t="s">
        <v>537</v>
      </c>
      <c r="D282" s="187" t="s">
        <v>233</v>
      </c>
      <c r="E282" s="172" t="s">
        <v>46</v>
      </c>
      <c r="F282" s="171" t="s">
        <v>51</v>
      </c>
      <c r="G282" s="171" t="s">
        <v>56</v>
      </c>
      <c r="H282" s="173"/>
      <c r="I282" s="174"/>
      <c r="J282" s="173"/>
      <c r="K282" s="175"/>
      <c r="L282" s="175"/>
      <c r="M282" s="175"/>
      <c r="N282" s="309"/>
      <c r="O282" s="173"/>
      <c r="P282" s="290">
        <v>10500000</v>
      </c>
      <c r="Q282" s="78">
        <f>R282+S282+T282+U282+V282</f>
        <v>0</v>
      </c>
      <c r="R282" s="177"/>
      <c r="S282" s="78"/>
      <c r="T282" s="78"/>
      <c r="U282" s="78"/>
      <c r="V282" s="78"/>
      <c r="W282" s="37">
        <v>0</v>
      </c>
      <c r="X282" s="354"/>
      <c r="Y282" s="320"/>
      <c r="Z282" s="355"/>
      <c r="AA282" s="177">
        <v>0</v>
      </c>
      <c r="AB282" s="37">
        <v>0</v>
      </c>
    </row>
    <row r="283" spans="1:28" s="58" customFormat="1" hidden="1" x14ac:dyDescent="0.2">
      <c r="A283" s="54" t="s">
        <v>57</v>
      </c>
      <c r="B283" s="48"/>
      <c r="C283" s="49"/>
      <c r="D283" s="49" t="s">
        <v>18</v>
      </c>
      <c r="E283" s="50" t="s">
        <v>46</v>
      </c>
      <c r="F283" s="49" t="s">
        <v>58</v>
      </c>
      <c r="G283" s="49"/>
      <c r="H283" s="51">
        <f>H284</f>
        <v>0</v>
      </c>
      <c r="I283" s="51">
        <f t="shared" ref="I283:N283" si="178">I284</f>
        <v>0</v>
      </c>
      <c r="J283" s="51">
        <f t="shared" si="178"/>
        <v>0</v>
      </c>
      <c r="K283" s="51">
        <f t="shared" si="178"/>
        <v>0</v>
      </c>
      <c r="L283" s="51">
        <f t="shared" si="178"/>
        <v>0</v>
      </c>
      <c r="M283" s="51">
        <f t="shared" si="178"/>
        <v>0</v>
      </c>
      <c r="N283" s="51">
        <f t="shared" si="178"/>
        <v>0</v>
      </c>
      <c r="O283" s="51">
        <f>O284</f>
        <v>0</v>
      </c>
      <c r="P283" s="282">
        <f>P284+P292+P293</f>
        <v>0</v>
      </c>
      <c r="Q283" s="282">
        <f t="shared" ref="Q283:W283" si="179">Q284+Q292+Q293</f>
        <v>0</v>
      </c>
      <c r="R283" s="282">
        <f t="shared" si="179"/>
        <v>0</v>
      </c>
      <c r="S283" s="282">
        <f t="shared" si="179"/>
        <v>0</v>
      </c>
      <c r="T283" s="282">
        <f>T284+T292+T293</f>
        <v>0</v>
      </c>
      <c r="U283" s="282">
        <f t="shared" si="179"/>
        <v>0</v>
      </c>
      <c r="V283" s="282"/>
      <c r="W283" s="282">
        <f t="shared" si="179"/>
        <v>0</v>
      </c>
      <c r="X283" s="321"/>
      <c r="Y283" s="321"/>
      <c r="Z283" s="356"/>
      <c r="AA283" s="282">
        <f>AA284+AA292+AA293</f>
        <v>0</v>
      </c>
      <c r="AB283" s="282">
        <f t="shared" ref="AB283" si="180">AB284+AB292+AB293</f>
        <v>0</v>
      </c>
    </row>
    <row r="284" spans="1:28" ht="38.25" hidden="1" x14ac:dyDescent="0.2">
      <c r="A284" s="95" t="s">
        <v>397</v>
      </c>
      <c r="B284" s="76"/>
      <c r="C284" s="36"/>
      <c r="D284" s="36" t="s">
        <v>246</v>
      </c>
      <c r="E284" s="77"/>
      <c r="F284" s="36"/>
      <c r="G284" s="36" t="s">
        <v>64</v>
      </c>
      <c r="H284" s="78">
        <v>0</v>
      </c>
      <c r="I284" s="37">
        <f>SUM(J284:M284)</f>
        <v>0</v>
      </c>
      <c r="J284" s="78"/>
      <c r="K284" s="79"/>
      <c r="L284" s="79">
        <v>0</v>
      </c>
      <c r="M284" s="79"/>
      <c r="N284" s="39">
        <f>H284+I284</f>
        <v>0</v>
      </c>
      <c r="O284" s="78">
        <v>0</v>
      </c>
      <c r="P284" s="74">
        <v>0</v>
      </c>
      <c r="Q284" s="78">
        <f>R284+S284+T284+U284</f>
        <v>0</v>
      </c>
      <c r="R284" s="78"/>
      <c r="S284" s="78"/>
      <c r="T284" s="78">
        <v>0</v>
      </c>
      <c r="U284" s="78"/>
      <c r="V284" s="78"/>
      <c r="W284" s="37">
        <f>P284+Q284</f>
        <v>0</v>
      </c>
      <c r="X284" s="320"/>
      <c r="Y284" s="320"/>
      <c r="Z284" s="353"/>
      <c r="AA284" s="78"/>
      <c r="AB284" s="37">
        <f>U284+V284</f>
        <v>0</v>
      </c>
    </row>
    <row r="285" spans="1:28" hidden="1" x14ac:dyDescent="0.2">
      <c r="A285" s="29" t="s">
        <v>65</v>
      </c>
      <c r="B285" s="179" t="s">
        <v>131</v>
      </c>
      <c r="C285" s="31" t="s">
        <v>226</v>
      </c>
      <c r="D285" s="49" t="s">
        <v>232</v>
      </c>
      <c r="E285" s="32" t="s">
        <v>113</v>
      </c>
      <c r="F285" s="31" t="s">
        <v>66</v>
      </c>
      <c r="G285" s="31"/>
      <c r="H285" s="37">
        <f>H286</f>
        <v>0</v>
      </c>
      <c r="I285" s="37">
        <f t="shared" ref="I285:N285" si="181">I286</f>
        <v>0</v>
      </c>
      <c r="J285" s="37">
        <f t="shared" si="181"/>
        <v>0</v>
      </c>
      <c r="K285" s="37">
        <f t="shared" si="181"/>
        <v>0</v>
      </c>
      <c r="L285" s="37">
        <f t="shared" si="181"/>
        <v>0</v>
      </c>
      <c r="M285" s="37">
        <f t="shared" si="181"/>
        <v>0</v>
      </c>
      <c r="N285" s="37">
        <f t="shared" si="181"/>
        <v>0</v>
      </c>
      <c r="O285" s="37">
        <f>O286</f>
        <v>0</v>
      </c>
      <c r="P285" s="60">
        <f>P286</f>
        <v>0</v>
      </c>
      <c r="Q285" s="37"/>
      <c r="R285" s="37"/>
      <c r="S285" s="37"/>
      <c r="T285" s="37"/>
      <c r="U285" s="37"/>
      <c r="V285" s="37"/>
      <c r="W285" s="37"/>
      <c r="X285" s="320"/>
      <c r="Y285" s="320"/>
      <c r="Z285" s="353"/>
      <c r="AA285" s="37"/>
      <c r="AB285" s="37"/>
    </row>
    <row r="286" spans="1:28" ht="25.5" hidden="1" x14ac:dyDescent="0.2">
      <c r="A286" s="95" t="s">
        <v>237</v>
      </c>
      <c r="B286" s="180"/>
      <c r="C286" s="36"/>
      <c r="D286" s="36"/>
      <c r="E286" s="77"/>
      <c r="F286" s="36"/>
      <c r="G286" s="36" t="s">
        <v>69</v>
      </c>
      <c r="H286" s="78">
        <v>0</v>
      </c>
      <c r="I286" s="37">
        <f>SUM(J286:M286)</f>
        <v>0</v>
      </c>
      <c r="J286" s="78">
        <v>0</v>
      </c>
      <c r="K286" s="79">
        <v>0</v>
      </c>
      <c r="L286" s="79">
        <v>0</v>
      </c>
      <c r="M286" s="79">
        <v>0</v>
      </c>
      <c r="N286" s="39">
        <f>H286+I286</f>
        <v>0</v>
      </c>
      <c r="O286" s="78">
        <v>0</v>
      </c>
      <c r="P286" s="74">
        <v>0</v>
      </c>
      <c r="Q286" s="78"/>
      <c r="R286" s="78"/>
      <c r="S286" s="78"/>
      <c r="T286" s="78"/>
      <c r="U286" s="78"/>
      <c r="V286" s="78"/>
      <c r="W286" s="37"/>
      <c r="X286" s="320"/>
      <c r="Y286" s="320"/>
      <c r="Z286" s="353"/>
      <c r="AA286" s="78"/>
      <c r="AB286" s="37"/>
    </row>
    <row r="287" spans="1:28" ht="38.25" hidden="1" x14ac:dyDescent="0.2">
      <c r="A287" s="148" t="s">
        <v>238</v>
      </c>
      <c r="B287" s="180"/>
      <c r="C287" s="36"/>
      <c r="D287" s="36" t="s">
        <v>239</v>
      </c>
      <c r="E287" s="15" t="s">
        <v>46</v>
      </c>
      <c r="F287" s="14" t="s">
        <v>51</v>
      </c>
      <c r="G287" s="36" t="s">
        <v>101</v>
      </c>
      <c r="H287" s="78"/>
      <c r="I287" s="37"/>
      <c r="J287" s="78"/>
      <c r="K287" s="79"/>
      <c r="L287" s="79"/>
      <c r="M287" s="79"/>
      <c r="N287" s="39"/>
      <c r="O287" s="78"/>
      <c r="P287" s="74">
        <v>0</v>
      </c>
      <c r="Q287" s="78"/>
      <c r="R287" s="181"/>
      <c r="S287" s="78"/>
      <c r="T287" s="78"/>
      <c r="U287" s="78"/>
      <c r="V287" s="78"/>
      <c r="W287" s="37"/>
      <c r="X287" s="320"/>
      <c r="Y287" s="320"/>
      <c r="Z287" s="353"/>
      <c r="AA287" s="181"/>
      <c r="AB287" s="37"/>
    </row>
    <row r="288" spans="1:28" ht="51" hidden="1" x14ac:dyDescent="0.2">
      <c r="A288" s="75" t="s">
        <v>240</v>
      </c>
      <c r="B288" s="180"/>
      <c r="C288" s="36"/>
      <c r="D288" s="36" t="s">
        <v>241</v>
      </c>
      <c r="E288" s="15" t="s">
        <v>141</v>
      </c>
      <c r="F288" s="14" t="s">
        <v>51</v>
      </c>
      <c r="G288" s="36" t="s">
        <v>56</v>
      </c>
      <c r="H288" s="78"/>
      <c r="I288" s="37"/>
      <c r="J288" s="78"/>
      <c r="K288" s="79"/>
      <c r="L288" s="79"/>
      <c r="M288" s="79"/>
      <c r="N288" s="39"/>
      <c r="O288" s="78"/>
      <c r="P288" s="74">
        <v>0</v>
      </c>
      <c r="Q288" s="78"/>
      <c r="R288" s="181"/>
      <c r="S288" s="78"/>
      <c r="T288" s="78"/>
      <c r="U288" s="78"/>
      <c r="V288" s="78"/>
      <c r="W288" s="37"/>
      <c r="X288" s="320"/>
      <c r="Y288" s="320"/>
      <c r="Z288" s="353"/>
      <c r="AA288" s="181"/>
      <c r="AB288" s="37"/>
    </row>
    <row r="289" spans="1:29" ht="76.5" hidden="1" x14ac:dyDescent="0.2">
      <c r="A289" s="168" t="s">
        <v>231</v>
      </c>
      <c r="B289" s="13"/>
      <c r="C289" s="14"/>
      <c r="D289" s="36" t="s">
        <v>242</v>
      </c>
      <c r="E289" s="15" t="s">
        <v>46</v>
      </c>
      <c r="F289" s="14" t="s">
        <v>58</v>
      </c>
      <c r="G289" s="36" t="s">
        <v>64</v>
      </c>
      <c r="H289" s="37">
        <v>0</v>
      </c>
      <c r="I289" s="37">
        <f>SUM(J289:M289)</f>
        <v>0</v>
      </c>
      <c r="J289" s="37">
        <v>0</v>
      </c>
      <c r="K289" s="38">
        <v>0</v>
      </c>
      <c r="L289" s="38">
        <v>0</v>
      </c>
      <c r="M289" s="38">
        <v>0</v>
      </c>
      <c r="N289" s="39">
        <f>H289+I289</f>
        <v>0</v>
      </c>
      <c r="O289" s="37">
        <v>0</v>
      </c>
      <c r="P289" s="60">
        <v>0</v>
      </c>
      <c r="Q289" s="37"/>
      <c r="R289" s="37"/>
      <c r="S289" s="78"/>
      <c r="T289" s="78"/>
      <c r="U289" s="78"/>
      <c r="V289" s="78"/>
      <c r="W289" s="37"/>
      <c r="X289" s="320"/>
      <c r="Y289" s="320"/>
      <c r="Z289" s="353"/>
      <c r="AA289" s="37"/>
      <c r="AB289" s="37"/>
    </row>
    <row r="290" spans="1:29" ht="25.5" hidden="1" x14ac:dyDescent="0.2">
      <c r="A290" s="168" t="s">
        <v>243</v>
      </c>
      <c r="B290" s="13"/>
      <c r="C290" s="14"/>
      <c r="D290" s="36" t="s">
        <v>138</v>
      </c>
      <c r="E290" s="15" t="s">
        <v>46</v>
      </c>
      <c r="F290" s="14" t="s">
        <v>58</v>
      </c>
      <c r="G290" s="36" t="s">
        <v>244</v>
      </c>
      <c r="H290" s="37"/>
      <c r="I290" s="37"/>
      <c r="J290" s="37"/>
      <c r="K290" s="38"/>
      <c r="L290" s="38"/>
      <c r="M290" s="38"/>
      <c r="N290" s="63"/>
      <c r="O290" s="37"/>
      <c r="P290" s="60">
        <v>0</v>
      </c>
      <c r="Q290" s="37"/>
      <c r="R290" s="37"/>
      <c r="S290" s="78"/>
      <c r="T290" s="78"/>
      <c r="U290" s="78"/>
      <c r="V290" s="78"/>
      <c r="W290" s="37"/>
      <c r="X290" s="320"/>
      <c r="Y290" s="320"/>
      <c r="Z290" s="353"/>
      <c r="AA290" s="37"/>
      <c r="AB290" s="37"/>
    </row>
    <row r="291" spans="1:29" hidden="1" x14ac:dyDescent="0.2">
      <c r="A291" s="168" t="s">
        <v>245</v>
      </c>
      <c r="B291" s="13"/>
      <c r="C291" s="14"/>
      <c r="D291" s="36" t="s">
        <v>234</v>
      </c>
      <c r="E291" s="15" t="s">
        <v>161</v>
      </c>
      <c r="F291" s="14" t="s">
        <v>66</v>
      </c>
      <c r="G291" s="36" t="s">
        <v>69</v>
      </c>
      <c r="H291" s="37"/>
      <c r="I291" s="37"/>
      <c r="J291" s="37"/>
      <c r="K291" s="38"/>
      <c r="L291" s="38"/>
      <c r="M291" s="38"/>
      <c r="N291" s="63"/>
      <c r="O291" s="37"/>
      <c r="P291" s="60">
        <v>0</v>
      </c>
      <c r="Q291" s="37"/>
      <c r="R291" s="37"/>
      <c r="S291" s="78"/>
      <c r="T291" s="78"/>
      <c r="U291" s="78"/>
      <c r="V291" s="78"/>
      <c r="W291" s="37"/>
      <c r="X291" s="320"/>
      <c r="Y291" s="320"/>
      <c r="Z291" s="353"/>
      <c r="AA291" s="37"/>
      <c r="AB291" s="37"/>
    </row>
    <row r="292" spans="1:29" ht="25.5" hidden="1" x14ac:dyDescent="0.2">
      <c r="A292" s="168" t="s">
        <v>399</v>
      </c>
      <c r="B292" s="13"/>
      <c r="C292" s="14"/>
      <c r="D292" s="36" t="s">
        <v>246</v>
      </c>
      <c r="E292" s="15"/>
      <c r="F292" s="14"/>
      <c r="G292" s="36" t="s">
        <v>64</v>
      </c>
      <c r="H292" s="37"/>
      <c r="I292" s="37"/>
      <c r="J292" s="37"/>
      <c r="K292" s="38"/>
      <c r="L292" s="38"/>
      <c r="M292" s="38"/>
      <c r="N292" s="63"/>
      <c r="O292" s="37"/>
      <c r="P292" s="60">
        <v>0</v>
      </c>
      <c r="Q292" s="37">
        <f>R292+S292+T292+U292</f>
        <v>0</v>
      </c>
      <c r="R292" s="37"/>
      <c r="S292" s="78"/>
      <c r="T292" s="78">
        <v>0</v>
      </c>
      <c r="U292" s="78"/>
      <c r="V292" s="78"/>
      <c r="W292" s="37">
        <f>P292+Q292</f>
        <v>0</v>
      </c>
      <c r="X292" s="320"/>
      <c r="Y292" s="320"/>
      <c r="Z292" s="353"/>
      <c r="AA292" s="37"/>
      <c r="AB292" s="37">
        <f>U292+V292</f>
        <v>0</v>
      </c>
    </row>
    <row r="293" spans="1:29" ht="38.25" hidden="1" x14ac:dyDescent="0.2">
      <c r="A293" s="168" t="s">
        <v>406</v>
      </c>
      <c r="B293" s="13"/>
      <c r="C293" s="14"/>
      <c r="D293" s="36" t="s">
        <v>402</v>
      </c>
      <c r="E293" s="15"/>
      <c r="F293" s="14"/>
      <c r="G293" s="36" t="s">
        <v>64</v>
      </c>
      <c r="H293" s="37"/>
      <c r="I293" s="37"/>
      <c r="J293" s="37"/>
      <c r="K293" s="38"/>
      <c r="L293" s="38"/>
      <c r="M293" s="38"/>
      <c r="N293" s="63"/>
      <c r="O293" s="37"/>
      <c r="P293" s="291">
        <v>0</v>
      </c>
      <c r="Q293" s="37">
        <f>R293+S293+T293+U293</f>
        <v>0</v>
      </c>
      <c r="R293" s="37"/>
      <c r="S293" s="78"/>
      <c r="T293" s="78"/>
      <c r="U293" s="78"/>
      <c r="V293" s="78"/>
      <c r="W293" s="37">
        <f>P293+Q293</f>
        <v>0</v>
      </c>
      <c r="X293" s="320"/>
      <c r="Y293" s="320"/>
      <c r="Z293" s="353"/>
      <c r="AA293" s="37"/>
      <c r="AB293" s="37">
        <f>U293+V293</f>
        <v>0</v>
      </c>
    </row>
    <row r="294" spans="1:29" hidden="1" x14ac:dyDescent="0.2">
      <c r="A294" s="54" t="s">
        <v>72</v>
      </c>
      <c r="B294" s="115">
        <v>804</v>
      </c>
      <c r="C294" s="49" t="s">
        <v>226</v>
      </c>
      <c r="D294" s="49" t="s">
        <v>18</v>
      </c>
      <c r="E294" s="50" t="s">
        <v>247</v>
      </c>
      <c r="F294" s="49" t="s">
        <v>73</v>
      </c>
      <c r="G294" s="49"/>
      <c r="H294" s="51">
        <f>SUM(H295:H297)</f>
        <v>0</v>
      </c>
      <c r="I294" s="51">
        <f t="shared" ref="I294:N294" si="182">SUM(I295:I297)</f>
        <v>25089156.629999999</v>
      </c>
      <c r="J294" s="51">
        <f t="shared" si="182"/>
        <v>0</v>
      </c>
      <c r="K294" s="51">
        <f t="shared" si="182"/>
        <v>25089156.629999999</v>
      </c>
      <c r="L294" s="51">
        <f t="shared" si="182"/>
        <v>0</v>
      </c>
      <c r="M294" s="51">
        <f t="shared" si="182"/>
        <v>0</v>
      </c>
      <c r="N294" s="51">
        <f t="shared" si="182"/>
        <v>25089156.629999999</v>
      </c>
      <c r="O294" s="51">
        <f>SUM(O295:O297)</f>
        <v>0</v>
      </c>
      <c r="P294" s="282">
        <f>SUM(P295:P305)</f>
        <v>8638207</v>
      </c>
      <c r="Q294" s="282">
        <f t="shared" ref="Q294:W294" si="183">SUM(Q295:Q305)</f>
        <v>0</v>
      </c>
      <c r="R294" s="282">
        <f t="shared" si="183"/>
        <v>0</v>
      </c>
      <c r="S294" s="282">
        <f t="shared" si="183"/>
        <v>0</v>
      </c>
      <c r="T294" s="282">
        <f t="shared" si="183"/>
        <v>0</v>
      </c>
      <c r="U294" s="282">
        <f t="shared" si="183"/>
        <v>0</v>
      </c>
      <c r="V294" s="282">
        <f t="shared" si="183"/>
        <v>0</v>
      </c>
      <c r="W294" s="282">
        <f t="shared" si="183"/>
        <v>0</v>
      </c>
      <c r="X294" s="320"/>
      <c r="Y294" s="320"/>
      <c r="Z294" s="353"/>
      <c r="AA294" s="282">
        <f>SUM(AA295:AA305)</f>
        <v>0</v>
      </c>
      <c r="AB294" s="282">
        <f t="shared" ref="AB294" si="184">SUM(AB295:AB305)</f>
        <v>0</v>
      </c>
    </row>
    <row r="295" spans="1:29" ht="38.25" hidden="1" x14ac:dyDescent="0.2">
      <c r="A295" s="168" t="s">
        <v>393</v>
      </c>
      <c r="B295" s="13"/>
      <c r="C295" s="14"/>
      <c r="D295" s="36" t="s">
        <v>253</v>
      </c>
      <c r="E295" s="15" t="s">
        <v>247</v>
      </c>
      <c r="F295" s="14" t="s">
        <v>73</v>
      </c>
      <c r="G295" s="36" t="s">
        <v>248</v>
      </c>
      <c r="H295" s="37">
        <v>0</v>
      </c>
      <c r="I295" s="37">
        <f>SUM(J295:M295)</f>
        <v>0</v>
      </c>
      <c r="J295" s="37">
        <v>0</v>
      </c>
      <c r="K295" s="38">
        <v>0</v>
      </c>
      <c r="L295" s="38">
        <v>0</v>
      </c>
      <c r="M295" s="38">
        <v>0</v>
      </c>
      <c r="N295" s="39">
        <f>H295+I295</f>
        <v>0</v>
      </c>
      <c r="O295" s="37">
        <v>0</v>
      </c>
      <c r="P295" s="60">
        <v>0</v>
      </c>
      <c r="Q295" s="37">
        <f>R295+S295+T295+U295</f>
        <v>0</v>
      </c>
      <c r="R295" s="37"/>
      <c r="S295" s="37">
        <v>0</v>
      </c>
      <c r="T295" s="37"/>
      <c r="U295" s="37"/>
      <c r="V295" s="37"/>
      <c r="W295" s="37">
        <f>P295+Q295</f>
        <v>0</v>
      </c>
      <c r="X295" s="320"/>
      <c r="Y295" s="320"/>
      <c r="Z295" s="320"/>
      <c r="AA295" s="37"/>
      <c r="AB295" s="37">
        <f>U295+V295</f>
        <v>0</v>
      </c>
    </row>
    <row r="296" spans="1:29" ht="25.5" hidden="1" x14ac:dyDescent="0.2">
      <c r="A296" s="182" t="s">
        <v>249</v>
      </c>
      <c r="B296" s="13"/>
      <c r="C296" s="14"/>
      <c r="D296" s="36" t="s">
        <v>250</v>
      </c>
      <c r="E296" s="15" t="s">
        <v>46</v>
      </c>
      <c r="F296" s="14" t="s">
        <v>73</v>
      </c>
      <c r="G296" s="36" t="s">
        <v>75</v>
      </c>
      <c r="H296" s="37">
        <v>0</v>
      </c>
      <c r="I296" s="37">
        <f>SUM(J296:M296)</f>
        <v>11679091.84</v>
      </c>
      <c r="J296" s="37"/>
      <c r="K296" s="38">
        <v>11679091.84</v>
      </c>
      <c r="L296" s="38"/>
      <c r="M296" s="38"/>
      <c r="N296" s="39">
        <f>H296+I296</f>
        <v>11679091.84</v>
      </c>
      <c r="O296" s="37">
        <v>0</v>
      </c>
      <c r="P296" s="60">
        <v>0</v>
      </c>
      <c r="Q296" s="37"/>
      <c r="R296" s="37"/>
      <c r="S296" s="37"/>
      <c r="T296" s="37"/>
      <c r="U296" s="37"/>
      <c r="V296" s="37"/>
      <c r="W296" s="37"/>
      <c r="X296" s="320"/>
      <c r="Y296" s="320"/>
      <c r="Z296" s="353"/>
      <c r="AA296" s="37"/>
      <c r="AB296" s="37"/>
    </row>
    <row r="297" spans="1:29" ht="25.5" hidden="1" x14ac:dyDescent="0.2">
      <c r="A297" s="182" t="s">
        <v>249</v>
      </c>
      <c r="B297" s="13"/>
      <c r="C297" s="14"/>
      <c r="D297" s="36" t="s">
        <v>251</v>
      </c>
      <c r="E297" s="15" t="s">
        <v>46</v>
      </c>
      <c r="F297" s="14" t="s">
        <v>73</v>
      </c>
      <c r="G297" s="36" t="s">
        <v>75</v>
      </c>
      <c r="H297" s="37">
        <v>0</v>
      </c>
      <c r="I297" s="37">
        <f>SUM(J297:M297)</f>
        <v>13410064.789999999</v>
      </c>
      <c r="J297" s="37"/>
      <c r="K297" s="38">
        <v>13410064.789999999</v>
      </c>
      <c r="L297" s="38"/>
      <c r="M297" s="38"/>
      <c r="N297" s="39">
        <f>H297+I297</f>
        <v>13410064.789999999</v>
      </c>
      <c r="O297" s="37">
        <v>0</v>
      </c>
      <c r="P297" s="60">
        <v>0</v>
      </c>
      <c r="Q297" s="37"/>
      <c r="R297" s="37"/>
      <c r="S297" s="37"/>
      <c r="T297" s="37"/>
      <c r="U297" s="37"/>
      <c r="V297" s="37"/>
      <c r="W297" s="37"/>
      <c r="X297" s="320"/>
      <c r="Y297" s="320"/>
      <c r="Z297" s="353"/>
      <c r="AA297" s="37"/>
      <c r="AB297" s="37"/>
    </row>
    <row r="298" spans="1:29" ht="76.5" hidden="1" x14ac:dyDescent="0.2">
      <c r="A298" s="168" t="s">
        <v>400</v>
      </c>
      <c r="B298" s="13"/>
      <c r="C298" s="14"/>
      <c r="D298" s="36" t="s">
        <v>246</v>
      </c>
      <c r="E298" s="15" t="s">
        <v>247</v>
      </c>
      <c r="F298" s="14" t="s">
        <v>73</v>
      </c>
      <c r="G298" s="36" t="s">
        <v>248</v>
      </c>
      <c r="H298" s="37">
        <v>0</v>
      </c>
      <c r="I298" s="37">
        <f>SUM(J298:M298)</f>
        <v>0</v>
      </c>
      <c r="J298" s="37">
        <v>0</v>
      </c>
      <c r="K298" s="38">
        <v>0</v>
      </c>
      <c r="L298" s="38">
        <v>0</v>
      </c>
      <c r="M298" s="38">
        <v>0</v>
      </c>
      <c r="N298" s="39">
        <f>H298+I298</f>
        <v>0</v>
      </c>
      <c r="O298" s="37">
        <v>0</v>
      </c>
      <c r="P298" s="60">
        <v>0</v>
      </c>
      <c r="Q298" s="37">
        <f>R298+S298+T298+U298</f>
        <v>0</v>
      </c>
      <c r="R298" s="37"/>
      <c r="S298" s="78"/>
      <c r="T298" s="78"/>
      <c r="U298" s="78"/>
      <c r="V298" s="78"/>
      <c r="W298" s="37">
        <f>P298+Q298</f>
        <v>0</v>
      </c>
      <c r="X298" s="320"/>
      <c r="Y298" s="320"/>
      <c r="Z298" s="353"/>
      <c r="AA298" s="37"/>
      <c r="AB298" s="37">
        <f>U298+V298</f>
        <v>0</v>
      </c>
    </row>
    <row r="299" spans="1:29" ht="76.5" hidden="1" x14ac:dyDescent="0.2">
      <c r="A299" s="168" t="s">
        <v>400</v>
      </c>
      <c r="B299" s="13"/>
      <c r="C299" s="14"/>
      <c r="D299" s="36" t="s">
        <v>246</v>
      </c>
      <c r="E299" s="15" t="s">
        <v>247</v>
      </c>
      <c r="F299" s="14" t="s">
        <v>73</v>
      </c>
      <c r="G299" s="36" t="s">
        <v>248</v>
      </c>
      <c r="H299" s="37">
        <v>0</v>
      </c>
      <c r="I299" s="37">
        <f>SUM(J299:M299)</f>
        <v>0</v>
      </c>
      <c r="J299" s="37">
        <v>0</v>
      </c>
      <c r="K299" s="38">
        <v>0</v>
      </c>
      <c r="L299" s="38">
        <v>0</v>
      </c>
      <c r="M299" s="38">
        <v>0</v>
      </c>
      <c r="N299" s="39">
        <f>H299+I299</f>
        <v>0</v>
      </c>
      <c r="O299" s="37">
        <v>0</v>
      </c>
      <c r="P299" s="60">
        <v>0</v>
      </c>
      <c r="Q299" s="37">
        <f>R299+S299+T299+U299</f>
        <v>0</v>
      </c>
      <c r="R299" s="37"/>
      <c r="S299" s="78"/>
      <c r="T299" s="78"/>
      <c r="U299" s="78"/>
      <c r="V299" s="78"/>
      <c r="W299" s="37">
        <f>P299+Q299</f>
        <v>0</v>
      </c>
      <c r="X299" s="320"/>
      <c r="Y299" s="320"/>
      <c r="Z299" s="353"/>
      <c r="AA299" s="37"/>
      <c r="AB299" s="37">
        <f>U299+V299</f>
        <v>0</v>
      </c>
    </row>
    <row r="300" spans="1:29" ht="38.25" hidden="1" x14ac:dyDescent="0.2">
      <c r="A300" s="168" t="s">
        <v>252</v>
      </c>
      <c r="B300" s="13"/>
      <c r="C300" s="14"/>
      <c r="D300" s="36" t="s">
        <v>254</v>
      </c>
      <c r="E300" s="15" t="s">
        <v>247</v>
      </c>
      <c r="F300" s="14" t="s">
        <v>73</v>
      </c>
      <c r="G300" s="36" t="s">
        <v>248</v>
      </c>
      <c r="H300" s="37"/>
      <c r="I300" s="37"/>
      <c r="J300" s="37"/>
      <c r="K300" s="38"/>
      <c r="L300" s="38"/>
      <c r="M300" s="38"/>
      <c r="N300" s="39"/>
      <c r="O300" s="37"/>
      <c r="P300" s="60">
        <v>0</v>
      </c>
      <c r="Q300" s="37"/>
      <c r="R300" s="37"/>
      <c r="S300" s="78"/>
      <c r="T300" s="78"/>
      <c r="U300" s="78"/>
      <c r="V300" s="78"/>
      <c r="W300" s="37"/>
      <c r="X300" s="320"/>
      <c r="Y300" s="320"/>
      <c r="Z300" s="353"/>
      <c r="AA300" s="37"/>
      <c r="AB300" s="37"/>
    </row>
    <row r="301" spans="1:29" ht="38.25" hidden="1" x14ac:dyDescent="0.2">
      <c r="A301" s="168" t="s">
        <v>255</v>
      </c>
      <c r="B301" s="13"/>
      <c r="C301" s="14"/>
      <c r="D301" s="36" t="s">
        <v>256</v>
      </c>
      <c r="E301" s="15" t="s">
        <v>247</v>
      </c>
      <c r="F301" s="14" t="s">
        <v>73</v>
      </c>
      <c r="G301" s="36" t="s">
        <v>248</v>
      </c>
      <c r="H301" s="37"/>
      <c r="I301" s="37"/>
      <c r="J301" s="37"/>
      <c r="K301" s="38"/>
      <c r="L301" s="38"/>
      <c r="M301" s="38"/>
      <c r="N301" s="63"/>
      <c r="O301" s="37"/>
      <c r="P301" s="60">
        <v>0</v>
      </c>
      <c r="Q301" s="183"/>
      <c r="R301" s="183"/>
      <c r="S301" s="78"/>
      <c r="T301" s="78"/>
      <c r="U301" s="78"/>
      <c r="V301" s="78"/>
      <c r="W301" s="37"/>
      <c r="X301" s="320"/>
      <c r="Y301" s="320"/>
      <c r="Z301" s="353"/>
      <c r="AA301" s="183"/>
      <c r="AB301" s="37"/>
    </row>
    <row r="302" spans="1:29" ht="38.25" hidden="1" x14ac:dyDescent="0.2">
      <c r="A302" s="168" t="s">
        <v>257</v>
      </c>
      <c r="B302" s="13"/>
      <c r="C302" s="14"/>
      <c r="D302" s="36" t="s">
        <v>239</v>
      </c>
      <c r="E302" s="15" t="s">
        <v>141</v>
      </c>
      <c r="F302" s="14" t="s">
        <v>73</v>
      </c>
      <c r="G302" s="36" t="s">
        <v>258</v>
      </c>
      <c r="H302" s="37"/>
      <c r="I302" s="37"/>
      <c r="J302" s="37"/>
      <c r="K302" s="38"/>
      <c r="L302" s="38"/>
      <c r="M302" s="38"/>
      <c r="N302" s="63"/>
      <c r="O302" s="37"/>
      <c r="P302" s="60">
        <v>0</v>
      </c>
      <c r="Q302" s="183"/>
      <c r="R302" s="183"/>
      <c r="S302" s="78"/>
      <c r="T302" s="78"/>
      <c r="U302" s="78"/>
      <c r="V302" s="78"/>
      <c r="W302" s="37"/>
      <c r="X302" s="320"/>
      <c r="Y302" s="320"/>
      <c r="Z302" s="353"/>
      <c r="AA302" s="183"/>
      <c r="AB302" s="37"/>
    </row>
    <row r="303" spans="1:29" ht="38.25" hidden="1" x14ac:dyDescent="0.2">
      <c r="A303" s="168" t="s">
        <v>403</v>
      </c>
      <c r="B303" s="13"/>
      <c r="C303" s="14"/>
      <c r="D303" s="36" t="s">
        <v>451</v>
      </c>
      <c r="E303" s="15" t="s">
        <v>427</v>
      </c>
      <c r="F303" s="14" t="s">
        <v>73</v>
      </c>
      <c r="G303" s="36" t="s">
        <v>75</v>
      </c>
      <c r="H303" s="37"/>
      <c r="I303" s="37"/>
      <c r="J303" s="37"/>
      <c r="K303" s="38"/>
      <c r="L303" s="38"/>
      <c r="M303" s="38"/>
      <c r="N303" s="63"/>
      <c r="O303" s="37"/>
      <c r="P303" s="60">
        <v>8638207</v>
      </c>
      <c r="Q303" s="183">
        <f>R303+S303+T303+U303+V303</f>
        <v>0</v>
      </c>
      <c r="R303" s="183"/>
      <c r="S303" s="78"/>
      <c r="T303" s="78"/>
      <c r="U303" s="78"/>
      <c r="V303" s="78"/>
      <c r="W303" s="37">
        <v>0</v>
      </c>
      <c r="X303" s="320"/>
      <c r="Y303" s="320"/>
      <c r="Z303" s="353"/>
      <c r="AA303" s="183">
        <v>0</v>
      </c>
      <c r="AB303" s="37">
        <v>0</v>
      </c>
      <c r="AC303" s="43"/>
    </row>
    <row r="304" spans="1:29" ht="38.25" hidden="1" x14ac:dyDescent="0.2">
      <c r="A304" s="168" t="s">
        <v>403</v>
      </c>
      <c r="B304" s="13"/>
      <c r="C304" s="14"/>
      <c r="D304" s="36"/>
      <c r="E304" s="15" t="s">
        <v>427</v>
      </c>
      <c r="F304" s="14" t="s">
        <v>73</v>
      </c>
      <c r="G304" s="36" t="s">
        <v>75</v>
      </c>
      <c r="H304" s="37"/>
      <c r="I304" s="37"/>
      <c r="J304" s="37"/>
      <c r="K304" s="38"/>
      <c r="L304" s="38"/>
      <c r="M304" s="38"/>
      <c r="N304" s="63"/>
      <c r="O304" s="37"/>
      <c r="P304" s="291">
        <v>0</v>
      </c>
      <c r="Q304" s="183">
        <f>R304+S304+T304+U304</f>
        <v>0</v>
      </c>
      <c r="R304" s="183">
        <v>0</v>
      </c>
      <c r="S304" s="78"/>
      <c r="T304" s="78"/>
      <c r="U304" s="78"/>
      <c r="V304" s="78"/>
      <c r="W304" s="37">
        <f>P304+Q304</f>
        <v>0</v>
      </c>
      <c r="X304" s="320"/>
      <c r="Y304" s="320"/>
      <c r="Z304" s="353"/>
      <c r="AA304" s="183">
        <v>0</v>
      </c>
      <c r="AB304" s="37">
        <f>U304+V304</f>
        <v>0</v>
      </c>
      <c r="AC304" s="43"/>
    </row>
    <row r="305" spans="1:28" ht="38.25" hidden="1" x14ac:dyDescent="0.2">
      <c r="A305" s="168" t="s">
        <v>404</v>
      </c>
      <c r="B305" s="13"/>
      <c r="C305" s="14"/>
      <c r="D305" s="36" t="s">
        <v>402</v>
      </c>
      <c r="E305" s="15" t="s">
        <v>124</v>
      </c>
      <c r="F305" s="14" t="s">
        <v>66</v>
      </c>
      <c r="G305" s="36" t="s">
        <v>69</v>
      </c>
      <c r="H305" s="37"/>
      <c r="I305" s="37"/>
      <c r="J305" s="37"/>
      <c r="K305" s="38"/>
      <c r="L305" s="38"/>
      <c r="M305" s="38"/>
      <c r="N305" s="63"/>
      <c r="O305" s="37"/>
      <c r="P305" s="60">
        <v>0</v>
      </c>
      <c r="Q305" s="183">
        <f>R305+S305+T305+U305</f>
        <v>0</v>
      </c>
      <c r="R305" s="183">
        <v>0</v>
      </c>
      <c r="S305" s="78"/>
      <c r="T305" s="78"/>
      <c r="U305" s="78"/>
      <c r="V305" s="78"/>
      <c r="W305" s="37">
        <f>P305+Q305</f>
        <v>0</v>
      </c>
      <c r="X305" s="320"/>
      <c r="Y305" s="320"/>
      <c r="Z305" s="353"/>
      <c r="AA305" s="183">
        <v>0</v>
      </c>
      <c r="AB305" s="37">
        <f>U305+V305</f>
        <v>0</v>
      </c>
    </row>
    <row r="306" spans="1:28" x14ac:dyDescent="0.2">
      <c r="A306" s="40" t="s">
        <v>259</v>
      </c>
      <c r="B306" s="184" t="s">
        <v>131</v>
      </c>
      <c r="C306" s="24" t="s">
        <v>260</v>
      </c>
      <c r="D306" s="98" t="s">
        <v>18</v>
      </c>
      <c r="E306" s="25" t="s">
        <v>19</v>
      </c>
      <c r="F306" s="24" t="s">
        <v>19</v>
      </c>
      <c r="G306" s="24"/>
      <c r="H306" s="26">
        <f>SUM(H307:H341)</f>
        <v>7634201.8799999999</v>
      </c>
      <c r="I306" s="26">
        <f t="shared" ref="I306:N306" si="185">SUM(I307:I319)</f>
        <v>122246.84</v>
      </c>
      <c r="J306" s="26">
        <f t="shared" si="185"/>
        <v>92754.680000000008</v>
      </c>
      <c r="K306" s="27">
        <f t="shared" si="185"/>
        <v>124000</v>
      </c>
      <c r="L306" s="27">
        <f t="shared" si="185"/>
        <v>0</v>
      </c>
      <c r="M306" s="27">
        <f t="shared" si="185"/>
        <v>-94507.839999999997</v>
      </c>
      <c r="N306" s="27">
        <f t="shared" si="185"/>
        <v>882246.84</v>
      </c>
      <c r="O306" s="26">
        <f>SUM(O307:O341)</f>
        <v>3419361.5039999997</v>
      </c>
      <c r="P306" s="280">
        <f t="shared" ref="P306:V306" si="186">SUM(P307:P346)</f>
        <v>12976422.869999999</v>
      </c>
      <c r="Q306" s="280">
        <f t="shared" si="186"/>
        <v>58470</v>
      </c>
      <c r="R306" s="280">
        <f t="shared" si="186"/>
        <v>10000</v>
      </c>
      <c r="S306" s="280">
        <f t="shared" si="186"/>
        <v>48470</v>
      </c>
      <c r="T306" s="280">
        <f t="shared" si="186"/>
        <v>0</v>
      </c>
      <c r="U306" s="280">
        <f t="shared" si="186"/>
        <v>0</v>
      </c>
      <c r="V306" s="280">
        <f t="shared" si="186"/>
        <v>0</v>
      </c>
      <c r="W306" s="280">
        <f>SUM(W307:W346)</f>
        <v>1554378.67</v>
      </c>
      <c r="X306" s="320"/>
      <c r="Y306" s="320"/>
      <c r="Z306" s="353"/>
      <c r="AA306" s="280">
        <f>SUM(AA307:AA346)</f>
        <v>455212.5</v>
      </c>
      <c r="AB306" s="280">
        <f t="shared" ref="AB306" si="187">SUM(AB307:AB346)</f>
        <v>1554378.67</v>
      </c>
    </row>
    <row r="307" spans="1:28" hidden="1" x14ac:dyDescent="0.2">
      <c r="A307" s="12" t="s">
        <v>548</v>
      </c>
      <c r="B307" s="330" t="s">
        <v>131</v>
      </c>
      <c r="C307" s="331" t="s">
        <v>260</v>
      </c>
      <c r="D307" s="187" t="s">
        <v>233</v>
      </c>
      <c r="E307" s="332" t="s">
        <v>46</v>
      </c>
      <c r="F307" s="331" t="s">
        <v>58</v>
      </c>
      <c r="G307" s="331" t="s">
        <v>64</v>
      </c>
      <c r="H307" s="78">
        <v>0</v>
      </c>
      <c r="I307" s="37">
        <f t="shared" ref="I307:I319" si="188">SUM(J307:M307)</f>
        <v>14616.5</v>
      </c>
      <c r="J307" s="78">
        <v>14616.5</v>
      </c>
      <c r="K307" s="78"/>
      <c r="L307" s="78"/>
      <c r="M307" s="78"/>
      <c r="N307" s="39">
        <f t="shared" ref="N307:N319" si="189">H307+I307</f>
        <v>14616.5</v>
      </c>
      <c r="O307" s="78">
        <v>0</v>
      </c>
      <c r="P307" s="294">
        <v>500000</v>
      </c>
      <c r="Q307" s="183">
        <f>R307+S307+T307+U307+V307</f>
        <v>0</v>
      </c>
      <c r="R307" s="78"/>
      <c r="S307" s="78"/>
      <c r="T307" s="78"/>
      <c r="U307" s="78"/>
      <c r="V307" s="78"/>
      <c r="W307" s="183">
        <f>100000-100000</f>
        <v>0</v>
      </c>
      <c r="X307" s="320"/>
      <c r="Y307" s="320"/>
      <c r="Z307" s="353"/>
      <c r="AA307" s="78"/>
      <c r="AB307" s="183">
        <f>100000-100000</f>
        <v>0</v>
      </c>
    </row>
    <row r="308" spans="1:28" hidden="1" x14ac:dyDescent="0.2">
      <c r="A308" s="12" t="s">
        <v>261</v>
      </c>
      <c r="B308" s="154" t="s">
        <v>131</v>
      </c>
      <c r="C308" s="14" t="s">
        <v>260</v>
      </c>
      <c r="D308" s="187" t="s">
        <v>233</v>
      </c>
      <c r="E308" s="15" t="s">
        <v>46</v>
      </c>
      <c r="F308" s="14" t="s">
        <v>58</v>
      </c>
      <c r="G308" s="14" t="s">
        <v>64</v>
      </c>
      <c r="H308" s="81">
        <v>0</v>
      </c>
      <c r="I308" s="37">
        <f t="shared" si="188"/>
        <v>0</v>
      </c>
      <c r="J308" s="81">
        <v>0</v>
      </c>
      <c r="K308" s="82">
        <v>0</v>
      </c>
      <c r="L308" s="82">
        <v>0</v>
      </c>
      <c r="M308" s="82">
        <v>0</v>
      </c>
      <c r="N308" s="39">
        <f t="shared" si="189"/>
        <v>0</v>
      </c>
      <c r="O308" s="81">
        <v>0</v>
      </c>
      <c r="P308" s="378">
        <v>0</v>
      </c>
      <c r="Q308" s="183">
        <f t="shared" ref="Q308:Q345" si="190">R308+S308+T308+U308+V308</f>
        <v>0</v>
      </c>
      <c r="R308" s="81"/>
      <c r="S308" s="81"/>
      <c r="T308" s="81"/>
      <c r="U308" s="81"/>
      <c r="V308" s="81"/>
      <c r="W308" s="183">
        <f t="shared" ref="W308:W344" si="191">P308+Q308</f>
        <v>0</v>
      </c>
      <c r="X308" s="320"/>
      <c r="Y308" s="320"/>
      <c r="Z308" s="353"/>
      <c r="AA308" s="81"/>
      <c r="AB308" s="183">
        <f t="shared" ref="AB308:AB344" si="192">U308+V308</f>
        <v>0</v>
      </c>
    </row>
    <row r="309" spans="1:28" ht="25.5" hidden="1" x14ac:dyDescent="0.2">
      <c r="A309" s="298" t="s">
        <v>549</v>
      </c>
      <c r="B309" s="330" t="s">
        <v>131</v>
      </c>
      <c r="C309" s="331" t="s">
        <v>260</v>
      </c>
      <c r="D309" s="187" t="s">
        <v>233</v>
      </c>
      <c r="E309" s="332" t="s">
        <v>46</v>
      </c>
      <c r="F309" s="14" t="s">
        <v>73</v>
      </c>
      <c r="G309" s="14" t="s">
        <v>75</v>
      </c>
      <c r="H309" s="81">
        <v>0</v>
      </c>
      <c r="I309" s="37">
        <f t="shared" si="188"/>
        <v>0</v>
      </c>
      <c r="J309" s="81"/>
      <c r="K309" s="82"/>
      <c r="L309" s="82"/>
      <c r="M309" s="82">
        <v>0</v>
      </c>
      <c r="N309" s="39">
        <f>H309+I309</f>
        <v>0</v>
      </c>
      <c r="O309" s="81">
        <v>0</v>
      </c>
      <c r="P309" s="378">
        <v>80000</v>
      </c>
      <c r="Q309" s="183">
        <f t="shared" si="190"/>
        <v>0</v>
      </c>
      <c r="R309" s="81"/>
      <c r="S309" s="81"/>
      <c r="T309" s="81"/>
      <c r="U309" s="81"/>
      <c r="V309" s="81"/>
      <c r="W309" s="183">
        <f>500000-500000</f>
        <v>0</v>
      </c>
      <c r="X309" s="320"/>
      <c r="Y309" s="320"/>
      <c r="Z309" s="353"/>
      <c r="AA309" s="81"/>
      <c r="AB309" s="183">
        <f>500000-500000</f>
        <v>0</v>
      </c>
    </row>
    <row r="310" spans="1:28" ht="25.5" hidden="1" x14ac:dyDescent="0.2">
      <c r="A310" s="12" t="s">
        <v>550</v>
      </c>
      <c r="B310" s="330" t="s">
        <v>131</v>
      </c>
      <c r="C310" s="331" t="s">
        <v>260</v>
      </c>
      <c r="D310" s="187" t="s">
        <v>233</v>
      </c>
      <c r="E310" s="332" t="s">
        <v>46</v>
      </c>
      <c r="F310" s="331" t="s">
        <v>58</v>
      </c>
      <c r="G310" s="331" t="s">
        <v>64</v>
      </c>
      <c r="H310" s="183">
        <v>0</v>
      </c>
      <c r="I310" s="183">
        <f t="shared" si="188"/>
        <v>0</v>
      </c>
      <c r="J310" s="333"/>
      <c r="K310" s="334"/>
      <c r="L310" s="334">
        <v>0</v>
      </c>
      <c r="M310" s="334"/>
      <c r="N310" s="325">
        <f>H310+I310</f>
        <v>0</v>
      </c>
      <c r="O310" s="183">
        <v>0</v>
      </c>
      <c r="P310" s="291">
        <v>3192870</v>
      </c>
      <c r="Q310" s="183">
        <f t="shared" si="190"/>
        <v>0</v>
      </c>
      <c r="R310" s="37"/>
      <c r="S310" s="37"/>
      <c r="T310" s="37"/>
      <c r="U310" s="37"/>
      <c r="V310" s="37"/>
      <c r="W310" s="183">
        <f>300000-300000</f>
        <v>0</v>
      </c>
      <c r="X310" s="320"/>
      <c r="Y310" s="320">
        <f>6522433.06-P310-P314-P315-P317-P332-P327</f>
        <v>0</v>
      </c>
      <c r="Z310" s="353"/>
      <c r="AA310" s="37"/>
      <c r="AB310" s="183">
        <f>300000-300000</f>
        <v>0</v>
      </c>
    </row>
    <row r="311" spans="1:28" hidden="1" x14ac:dyDescent="0.2">
      <c r="A311" s="12" t="s">
        <v>262</v>
      </c>
      <c r="B311" s="330"/>
      <c r="C311" s="331"/>
      <c r="D311" s="187"/>
      <c r="E311" s="332"/>
      <c r="F311" s="331" t="s">
        <v>77</v>
      </c>
      <c r="G311" s="331" t="s">
        <v>263</v>
      </c>
      <c r="H311" s="333">
        <v>0</v>
      </c>
      <c r="I311" s="183">
        <f t="shared" si="188"/>
        <v>99151.63</v>
      </c>
      <c r="J311" s="333">
        <v>99151.63</v>
      </c>
      <c r="K311" s="334"/>
      <c r="L311" s="334"/>
      <c r="M311" s="334"/>
      <c r="N311" s="325">
        <f>H311+I311</f>
        <v>99151.63</v>
      </c>
      <c r="O311" s="333">
        <v>0</v>
      </c>
      <c r="P311" s="378">
        <v>0</v>
      </c>
      <c r="Q311" s="183">
        <f t="shared" si="190"/>
        <v>0</v>
      </c>
      <c r="R311" s="81"/>
      <c r="S311" s="81"/>
      <c r="T311" s="81"/>
      <c r="U311" s="81"/>
      <c r="V311" s="81"/>
      <c r="W311" s="37">
        <f t="shared" si="191"/>
        <v>0</v>
      </c>
      <c r="X311" s="320"/>
      <c r="Y311" s="320"/>
      <c r="Z311" s="353"/>
      <c r="AA311" s="81"/>
      <c r="AB311" s="37">
        <f t="shared" si="192"/>
        <v>0</v>
      </c>
    </row>
    <row r="312" spans="1:28" hidden="1" x14ac:dyDescent="0.2">
      <c r="A312" s="12" t="s">
        <v>264</v>
      </c>
      <c r="B312" s="330" t="s">
        <v>131</v>
      </c>
      <c r="C312" s="331" t="s">
        <v>260</v>
      </c>
      <c r="D312" s="187" t="s">
        <v>265</v>
      </c>
      <c r="E312" s="332" t="s">
        <v>46</v>
      </c>
      <c r="F312" s="331" t="s">
        <v>58</v>
      </c>
      <c r="G312" s="331" t="s">
        <v>64</v>
      </c>
      <c r="H312" s="333">
        <v>0</v>
      </c>
      <c r="I312" s="183">
        <f t="shared" si="188"/>
        <v>-21013.45</v>
      </c>
      <c r="J312" s="333">
        <v>-21013.45</v>
      </c>
      <c r="K312" s="334">
        <v>0</v>
      </c>
      <c r="L312" s="334">
        <v>0</v>
      </c>
      <c r="M312" s="334">
        <v>0</v>
      </c>
      <c r="N312" s="325">
        <f t="shared" si="189"/>
        <v>-21013.45</v>
      </c>
      <c r="O312" s="333">
        <v>0</v>
      </c>
      <c r="P312" s="378">
        <v>0</v>
      </c>
      <c r="Q312" s="183">
        <f t="shared" si="190"/>
        <v>0</v>
      </c>
      <c r="R312" s="81"/>
      <c r="S312" s="81"/>
      <c r="T312" s="81"/>
      <c r="U312" s="81"/>
      <c r="V312" s="81"/>
      <c r="W312" s="37">
        <f t="shared" si="191"/>
        <v>0</v>
      </c>
      <c r="X312" s="320"/>
      <c r="Y312" s="320"/>
      <c r="Z312" s="353"/>
      <c r="AA312" s="81"/>
      <c r="AB312" s="37">
        <f t="shared" si="192"/>
        <v>0</v>
      </c>
    </row>
    <row r="313" spans="1:28" ht="25.5" hidden="1" x14ac:dyDescent="0.2">
      <c r="A313" s="12" t="s">
        <v>199</v>
      </c>
      <c r="B313" s="330" t="s">
        <v>131</v>
      </c>
      <c r="C313" s="331" t="s">
        <v>260</v>
      </c>
      <c r="D313" s="187" t="s">
        <v>266</v>
      </c>
      <c r="E313" s="332" t="s">
        <v>46</v>
      </c>
      <c r="F313" s="331" t="s">
        <v>58</v>
      </c>
      <c r="G313" s="331" t="s">
        <v>64</v>
      </c>
      <c r="H313" s="333">
        <v>0</v>
      </c>
      <c r="I313" s="183">
        <f t="shared" si="188"/>
        <v>114400</v>
      </c>
      <c r="J313" s="333"/>
      <c r="K313" s="334">
        <f>124000-9600</f>
        <v>114400</v>
      </c>
      <c r="L313" s="334"/>
      <c r="M313" s="334"/>
      <c r="N313" s="325">
        <f t="shared" si="189"/>
        <v>114400</v>
      </c>
      <c r="O313" s="333">
        <v>0</v>
      </c>
      <c r="P313" s="378">
        <v>0</v>
      </c>
      <c r="Q313" s="183">
        <f t="shared" si="190"/>
        <v>0</v>
      </c>
      <c r="R313" s="81"/>
      <c r="S313" s="81"/>
      <c r="T313" s="81"/>
      <c r="U313" s="81"/>
      <c r="V313" s="81"/>
      <c r="W313" s="37">
        <f t="shared" si="191"/>
        <v>0</v>
      </c>
      <c r="X313" s="320"/>
      <c r="Y313" s="320"/>
      <c r="Z313" s="353"/>
      <c r="AA313" s="81"/>
      <c r="AB313" s="37">
        <f t="shared" si="192"/>
        <v>0</v>
      </c>
    </row>
    <row r="314" spans="1:28" ht="38.25" hidden="1" x14ac:dyDescent="0.2">
      <c r="A314" s="12" t="s">
        <v>454</v>
      </c>
      <c r="B314" s="330" t="s">
        <v>131</v>
      </c>
      <c r="C314" s="331" t="s">
        <v>260</v>
      </c>
      <c r="D314" s="187" t="s">
        <v>233</v>
      </c>
      <c r="E314" s="332" t="s">
        <v>46</v>
      </c>
      <c r="F314" s="331" t="s">
        <v>58</v>
      </c>
      <c r="G314" s="331" t="s">
        <v>64</v>
      </c>
      <c r="H314" s="333"/>
      <c r="I314" s="183"/>
      <c r="J314" s="333"/>
      <c r="K314" s="334"/>
      <c r="L314" s="334"/>
      <c r="M314" s="334"/>
      <c r="N314" s="325"/>
      <c r="O314" s="333"/>
      <c r="P314" s="378">
        <v>1597160</v>
      </c>
      <c r="Q314" s="183">
        <f t="shared" si="190"/>
        <v>0</v>
      </c>
      <c r="R314" s="81"/>
      <c r="S314" s="81"/>
      <c r="T314" s="81"/>
      <c r="U314" s="81"/>
      <c r="V314" s="81"/>
      <c r="W314" s="37">
        <v>0</v>
      </c>
      <c r="X314" s="370"/>
      <c r="Y314" s="370"/>
      <c r="Z314" s="372"/>
      <c r="AA314" s="81">
        <v>0</v>
      </c>
      <c r="AB314" s="37">
        <v>0</v>
      </c>
    </row>
    <row r="315" spans="1:28" ht="25.5" hidden="1" x14ac:dyDescent="0.2">
      <c r="A315" s="298" t="s">
        <v>455</v>
      </c>
      <c r="B315" s="330" t="s">
        <v>131</v>
      </c>
      <c r="C315" s="331" t="s">
        <v>260</v>
      </c>
      <c r="D315" s="187" t="s">
        <v>233</v>
      </c>
      <c r="E315" s="332" t="s">
        <v>46</v>
      </c>
      <c r="F315" s="331" t="s">
        <v>58</v>
      </c>
      <c r="G315" s="331" t="s">
        <v>64</v>
      </c>
      <c r="H315" s="333">
        <v>400000</v>
      </c>
      <c r="I315" s="183">
        <f t="shared" si="188"/>
        <v>9600</v>
      </c>
      <c r="J315" s="333"/>
      <c r="K315" s="334">
        <v>9600</v>
      </c>
      <c r="L315" s="334"/>
      <c r="M315" s="334"/>
      <c r="N315" s="325">
        <f t="shared" si="189"/>
        <v>409600</v>
      </c>
      <c r="O315" s="333">
        <v>0</v>
      </c>
      <c r="P315" s="378">
        <v>827414</v>
      </c>
      <c r="Q315" s="183">
        <f t="shared" si="190"/>
        <v>0</v>
      </c>
      <c r="R315" s="81"/>
      <c r="S315" s="81"/>
      <c r="T315" s="81"/>
      <c r="U315" s="81"/>
      <c r="V315" s="81"/>
      <c r="W315" s="37">
        <v>0</v>
      </c>
      <c r="X315" s="370"/>
      <c r="Y315" s="370"/>
      <c r="Z315" s="372"/>
      <c r="AA315" s="81"/>
      <c r="AB315" s="37">
        <v>0</v>
      </c>
    </row>
    <row r="316" spans="1:28" ht="25.5" hidden="1" x14ac:dyDescent="0.2">
      <c r="A316" s="299" t="s">
        <v>456</v>
      </c>
      <c r="B316" s="154" t="s">
        <v>131</v>
      </c>
      <c r="C316" s="14" t="s">
        <v>260</v>
      </c>
      <c r="D316" s="187" t="s">
        <v>233</v>
      </c>
      <c r="E316" s="15" t="s">
        <v>46</v>
      </c>
      <c r="F316" s="14" t="s">
        <v>51</v>
      </c>
      <c r="G316" s="14" t="s">
        <v>56</v>
      </c>
      <c r="H316" s="37">
        <v>200000</v>
      </c>
      <c r="I316" s="37">
        <f t="shared" si="188"/>
        <v>-94507.839999999997</v>
      </c>
      <c r="J316" s="81"/>
      <c r="K316" s="82"/>
      <c r="L316" s="82">
        <v>0</v>
      </c>
      <c r="M316" s="82">
        <v>-94507.839999999997</v>
      </c>
      <c r="N316" s="38">
        <f t="shared" si="189"/>
        <v>105492.16</v>
      </c>
      <c r="O316" s="37">
        <v>0</v>
      </c>
      <c r="P316" s="291">
        <v>1223100</v>
      </c>
      <c r="Q316" s="183">
        <f t="shared" si="190"/>
        <v>0</v>
      </c>
      <c r="R316" s="37"/>
      <c r="S316" s="81"/>
      <c r="T316" s="81"/>
      <c r="U316" s="81"/>
      <c r="V316" s="81"/>
      <c r="W316" s="37">
        <v>0</v>
      </c>
      <c r="X316" s="370"/>
      <c r="Y316" s="370"/>
      <c r="Z316" s="372"/>
      <c r="AA316" s="37">
        <v>0</v>
      </c>
      <c r="AB316" s="37">
        <v>0</v>
      </c>
    </row>
    <row r="317" spans="1:28" ht="25.5" hidden="1" x14ac:dyDescent="0.2">
      <c r="A317" s="299" t="s">
        <v>507</v>
      </c>
      <c r="B317" s="330" t="s">
        <v>131</v>
      </c>
      <c r="C317" s="331" t="s">
        <v>260</v>
      </c>
      <c r="D317" s="187" t="s">
        <v>233</v>
      </c>
      <c r="E317" s="332" t="s">
        <v>46</v>
      </c>
      <c r="F317" s="331" t="s">
        <v>58</v>
      </c>
      <c r="G317" s="331" t="s">
        <v>64</v>
      </c>
      <c r="H317" s="37"/>
      <c r="I317" s="37"/>
      <c r="J317" s="81"/>
      <c r="K317" s="82"/>
      <c r="L317" s="82"/>
      <c r="M317" s="82"/>
      <c r="N317" s="38"/>
      <c r="O317" s="37"/>
      <c r="P317" s="291">
        <v>357709.76</v>
      </c>
      <c r="Q317" s="183">
        <f t="shared" si="190"/>
        <v>0</v>
      </c>
      <c r="R317" s="37"/>
      <c r="S317" s="81"/>
      <c r="T317" s="81"/>
      <c r="U317" s="81"/>
      <c r="V317" s="81"/>
      <c r="W317" s="37">
        <v>0</v>
      </c>
      <c r="X317" s="370"/>
      <c r="Y317" s="370"/>
      <c r="Z317" s="372"/>
      <c r="AA317" s="37"/>
      <c r="AB317" s="37">
        <v>0</v>
      </c>
    </row>
    <row r="318" spans="1:28" ht="25.5" hidden="1" x14ac:dyDescent="0.2">
      <c r="A318" s="299" t="s">
        <v>476</v>
      </c>
      <c r="B318" s="154" t="s">
        <v>131</v>
      </c>
      <c r="C318" s="14" t="s">
        <v>260</v>
      </c>
      <c r="D318" s="36" t="s">
        <v>451</v>
      </c>
      <c r="E318" s="15" t="s">
        <v>46</v>
      </c>
      <c r="F318" s="14" t="s">
        <v>51</v>
      </c>
      <c r="G318" s="14" t="s">
        <v>101</v>
      </c>
      <c r="H318" s="37">
        <v>400000</v>
      </c>
      <c r="I318" s="37"/>
      <c r="J318" s="81"/>
      <c r="K318" s="82"/>
      <c r="L318" s="82"/>
      <c r="M318" s="82"/>
      <c r="N318" s="38"/>
      <c r="O318" s="37"/>
      <c r="P318" s="291">
        <v>1764000</v>
      </c>
      <c r="Q318" s="183">
        <f t="shared" si="190"/>
        <v>0</v>
      </c>
      <c r="R318" s="37"/>
      <c r="S318" s="81"/>
      <c r="T318" s="81"/>
      <c r="U318" s="81"/>
      <c r="V318" s="81"/>
      <c r="W318" s="37">
        <v>0</v>
      </c>
      <c r="X318" s="370"/>
      <c r="Y318" s="370"/>
      <c r="Z318" s="372"/>
      <c r="AA318" s="37"/>
      <c r="AB318" s="37">
        <v>0</v>
      </c>
    </row>
    <row r="319" spans="1:28" ht="25.5" hidden="1" x14ac:dyDescent="0.2">
      <c r="A319" s="371" t="s">
        <v>484</v>
      </c>
      <c r="B319" s="154" t="s">
        <v>131</v>
      </c>
      <c r="C319" s="14" t="s">
        <v>260</v>
      </c>
      <c r="D319" s="36" t="s">
        <v>477</v>
      </c>
      <c r="E319" s="15" t="s">
        <v>46</v>
      </c>
      <c r="F319" s="14" t="s">
        <v>51</v>
      </c>
      <c r="G319" s="14" t="s">
        <v>101</v>
      </c>
      <c r="H319" s="81">
        <f>60000+100000</f>
        <v>160000</v>
      </c>
      <c r="I319" s="37">
        <f t="shared" si="188"/>
        <v>0</v>
      </c>
      <c r="J319" s="81"/>
      <c r="K319" s="82"/>
      <c r="L319" s="82">
        <v>0</v>
      </c>
      <c r="M319" s="82"/>
      <c r="N319" s="39">
        <f t="shared" si="189"/>
        <v>160000</v>
      </c>
      <c r="O319" s="81">
        <v>0</v>
      </c>
      <c r="P319" s="378">
        <v>219221.6</v>
      </c>
      <c r="Q319" s="183">
        <f t="shared" si="190"/>
        <v>-119221.6</v>
      </c>
      <c r="R319" s="81">
        <v>-119221.6</v>
      </c>
      <c r="S319" s="81"/>
      <c r="T319" s="81"/>
      <c r="U319" s="81"/>
      <c r="V319" s="81"/>
      <c r="W319" s="37">
        <v>0</v>
      </c>
      <c r="X319" s="370">
        <f>Y319-W319</f>
        <v>229221.6</v>
      </c>
      <c r="Y319" s="370">
        <f>129221.6+100000</f>
        <v>229221.6</v>
      </c>
      <c r="Z319" s="372"/>
      <c r="AA319" s="81"/>
      <c r="AB319" s="37">
        <v>0</v>
      </c>
    </row>
    <row r="320" spans="1:28" ht="25.5" hidden="1" x14ac:dyDescent="0.2">
      <c r="A320" s="371" t="s">
        <v>544</v>
      </c>
      <c r="B320" s="154" t="s">
        <v>131</v>
      </c>
      <c r="C320" s="14" t="s">
        <v>260</v>
      </c>
      <c r="D320" s="36" t="s">
        <v>477</v>
      </c>
      <c r="E320" s="15" t="s">
        <v>46</v>
      </c>
      <c r="F320" s="14" t="s">
        <v>51</v>
      </c>
      <c r="G320" s="14" t="s">
        <v>53</v>
      </c>
      <c r="H320" s="81"/>
      <c r="I320" s="37"/>
      <c r="J320" s="81"/>
      <c r="K320" s="82"/>
      <c r="L320" s="82"/>
      <c r="M320" s="82"/>
      <c r="N320" s="39"/>
      <c r="O320" s="81"/>
      <c r="P320" s="378">
        <v>0</v>
      </c>
      <c r="Q320" s="183">
        <f t="shared" si="190"/>
        <v>129221.6</v>
      </c>
      <c r="R320" s="81">
        <v>129221.6</v>
      </c>
      <c r="S320" s="81"/>
      <c r="T320" s="81"/>
      <c r="U320" s="81"/>
      <c r="V320" s="81"/>
      <c r="W320" s="37">
        <v>0</v>
      </c>
      <c r="X320" s="370"/>
      <c r="Y320" s="370"/>
      <c r="Z320" s="372"/>
      <c r="AA320" s="81"/>
      <c r="AB320" s="37">
        <v>0</v>
      </c>
    </row>
    <row r="321" spans="1:28" hidden="1" x14ac:dyDescent="0.2">
      <c r="A321" s="298" t="s">
        <v>483</v>
      </c>
      <c r="B321" s="154" t="s">
        <v>131</v>
      </c>
      <c r="C321" s="14" t="s">
        <v>260</v>
      </c>
      <c r="D321" s="36" t="s">
        <v>233</v>
      </c>
      <c r="E321" s="15" t="s">
        <v>46</v>
      </c>
      <c r="F321" s="14" t="s">
        <v>478</v>
      </c>
      <c r="G321" s="14"/>
      <c r="H321" s="81"/>
      <c r="I321" s="37"/>
      <c r="J321" s="81"/>
      <c r="K321" s="82"/>
      <c r="L321" s="82"/>
      <c r="M321" s="82"/>
      <c r="N321" s="39"/>
      <c r="O321" s="81"/>
      <c r="P321" s="378">
        <v>62532.24</v>
      </c>
      <c r="Q321" s="183">
        <f t="shared" si="190"/>
        <v>0</v>
      </c>
      <c r="R321" s="81"/>
      <c r="S321" s="81"/>
      <c r="T321" s="81"/>
      <c r="U321" s="81"/>
      <c r="V321" s="81"/>
      <c r="W321" s="37">
        <v>0</v>
      </c>
      <c r="X321" s="370"/>
      <c r="Y321" s="370"/>
      <c r="Z321" s="372"/>
      <c r="AA321" s="81"/>
      <c r="AB321" s="37">
        <v>0</v>
      </c>
    </row>
    <row r="322" spans="1:28" ht="25.5" hidden="1" x14ac:dyDescent="0.2">
      <c r="A322" s="371" t="s">
        <v>492</v>
      </c>
      <c r="B322" s="154" t="s">
        <v>131</v>
      </c>
      <c r="C322" s="14" t="s">
        <v>260</v>
      </c>
      <c r="D322" s="36" t="s">
        <v>233</v>
      </c>
      <c r="E322" s="15" t="s">
        <v>46</v>
      </c>
      <c r="F322" s="14" t="s">
        <v>51</v>
      </c>
      <c r="G322" s="14" t="s">
        <v>53</v>
      </c>
      <c r="H322" s="81"/>
      <c r="I322" s="37"/>
      <c r="J322" s="81"/>
      <c r="K322" s="82"/>
      <c r="L322" s="82"/>
      <c r="M322" s="82"/>
      <c r="N322" s="39"/>
      <c r="O322" s="81"/>
      <c r="P322" s="378">
        <v>31425.48</v>
      </c>
      <c r="Q322" s="183">
        <f t="shared" si="190"/>
        <v>0</v>
      </c>
      <c r="R322" s="81"/>
      <c r="S322" s="81"/>
      <c r="T322" s="81"/>
      <c r="U322" s="81"/>
      <c r="V322" s="81"/>
      <c r="W322" s="37">
        <v>0</v>
      </c>
      <c r="X322" s="370"/>
      <c r="Y322" s="370">
        <f>219221.6-100000</f>
        <v>119221.6</v>
      </c>
      <c r="Z322" s="370"/>
      <c r="AA322" s="81"/>
      <c r="AB322" s="37">
        <v>0</v>
      </c>
    </row>
    <row r="323" spans="1:28" ht="51" hidden="1" x14ac:dyDescent="0.2">
      <c r="A323" s="59" t="s">
        <v>387</v>
      </c>
      <c r="B323" s="154" t="s">
        <v>131</v>
      </c>
      <c r="C323" s="14" t="s">
        <v>260</v>
      </c>
      <c r="D323" s="36" t="s">
        <v>267</v>
      </c>
      <c r="E323" s="15" t="s">
        <v>46</v>
      </c>
      <c r="F323" s="14" t="s">
        <v>73</v>
      </c>
      <c r="G323" s="14" t="s">
        <v>75</v>
      </c>
      <c r="H323" s="78">
        <f>374800+465200</f>
        <v>840000</v>
      </c>
      <c r="I323" s="78">
        <f>SUM(J323:M323)</f>
        <v>0</v>
      </c>
      <c r="J323" s="78"/>
      <c r="K323" s="79"/>
      <c r="L323" s="79">
        <v>0</v>
      </c>
      <c r="M323" s="79"/>
      <c r="N323" s="121">
        <f>H323+I323</f>
        <v>840000</v>
      </c>
      <c r="O323" s="78">
        <f>400000*80%</f>
        <v>320000</v>
      </c>
      <c r="P323" s="294">
        <v>0</v>
      </c>
      <c r="Q323" s="183">
        <f t="shared" si="190"/>
        <v>0</v>
      </c>
      <c r="R323" s="81">
        <v>0</v>
      </c>
      <c r="S323" s="81"/>
      <c r="T323" s="81"/>
      <c r="U323" s="81"/>
      <c r="V323" s="81"/>
      <c r="W323" s="37">
        <f t="shared" si="191"/>
        <v>0</v>
      </c>
      <c r="X323" s="370"/>
      <c r="Y323" s="370"/>
      <c r="Z323" s="372"/>
      <c r="AA323" s="81">
        <v>0</v>
      </c>
      <c r="AB323" s="37">
        <f t="shared" si="192"/>
        <v>0</v>
      </c>
    </row>
    <row r="324" spans="1:28" ht="38.25" hidden="1" x14ac:dyDescent="0.2">
      <c r="A324" s="59" t="s">
        <v>388</v>
      </c>
      <c r="B324" s="154" t="s">
        <v>131</v>
      </c>
      <c r="C324" s="14" t="s">
        <v>260</v>
      </c>
      <c r="D324" s="36" t="s">
        <v>267</v>
      </c>
      <c r="E324" s="15" t="s">
        <v>46</v>
      </c>
      <c r="F324" s="14" t="s">
        <v>58</v>
      </c>
      <c r="G324" s="14" t="s">
        <v>64</v>
      </c>
      <c r="H324" s="78">
        <f>374800+465200</f>
        <v>840000</v>
      </c>
      <c r="I324" s="78">
        <f>SUM(J324:M324)</f>
        <v>0</v>
      </c>
      <c r="J324" s="78"/>
      <c r="K324" s="79"/>
      <c r="L324" s="79">
        <v>0</v>
      </c>
      <c r="M324" s="79"/>
      <c r="N324" s="121">
        <f>H324+I324</f>
        <v>840000</v>
      </c>
      <c r="O324" s="78">
        <f>400000*80%</f>
        <v>320000</v>
      </c>
      <c r="P324" s="294">
        <v>0</v>
      </c>
      <c r="Q324" s="183">
        <f t="shared" si="190"/>
        <v>0</v>
      </c>
      <c r="R324" s="78">
        <v>0</v>
      </c>
      <c r="S324" s="37"/>
      <c r="T324" s="81"/>
      <c r="U324" s="81"/>
      <c r="V324" s="81"/>
      <c r="W324" s="37">
        <f t="shared" si="191"/>
        <v>0</v>
      </c>
      <c r="X324" s="370"/>
      <c r="Y324" s="370"/>
      <c r="Z324" s="372"/>
      <c r="AA324" s="78">
        <v>0</v>
      </c>
      <c r="AB324" s="37">
        <f t="shared" si="192"/>
        <v>0</v>
      </c>
    </row>
    <row r="325" spans="1:28" ht="38.25" hidden="1" x14ac:dyDescent="0.2">
      <c r="A325" s="59" t="s">
        <v>417</v>
      </c>
      <c r="B325" s="154" t="s">
        <v>131</v>
      </c>
      <c r="C325" s="14" t="s">
        <v>260</v>
      </c>
      <c r="D325" s="36" t="s">
        <v>267</v>
      </c>
      <c r="E325" s="15" t="s">
        <v>46</v>
      </c>
      <c r="F325" s="14" t="s">
        <v>51</v>
      </c>
      <c r="G325" s="14" t="s">
        <v>101</v>
      </c>
      <c r="H325" s="78">
        <f>374800+465200</f>
        <v>840000</v>
      </c>
      <c r="I325" s="78">
        <f>SUM(J325:M325)</f>
        <v>0</v>
      </c>
      <c r="J325" s="78"/>
      <c r="K325" s="79"/>
      <c r="L325" s="79">
        <v>0</v>
      </c>
      <c r="M325" s="79"/>
      <c r="N325" s="121">
        <f>H325+I325</f>
        <v>840000</v>
      </c>
      <c r="O325" s="78">
        <f>400000*80%</f>
        <v>320000</v>
      </c>
      <c r="P325" s="294">
        <v>0</v>
      </c>
      <c r="Q325" s="183">
        <f t="shared" si="190"/>
        <v>0</v>
      </c>
      <c r="R325" s="78">
        <v>0</v>
      </c>
      <c r="S325" s="37"/>
      <c r="T325" s="81"/>
      <c r="U325" s="81"/>
      <c r="V325" s="81"/>
      <c r="W325" s="37">
        <f t="shared" si="191"/>
        <v>0</v>
      </c>
      <c r="X325" s="370"/>
      <c r="Y325" s="370"/>
      <c r="Z325" s="372"/>
      <c r="AA325" s="78">
        <v>0</v>
      </c>
      <c r="AB325" s="37">
        <f t="shared" si="192"/>
        <v>0</v>
      </c>
    </row>
    <row r="326" spans="1:28" ht="38.25" hidden="1" x14ac:dyDescent="0.2">
      <c r="A326" s="59" t="s">
        <v>417</v>
      </c>
      <c r="B326" s="154" t="s">
        <v>131</v>
      </c>
      <c r="C326" s="14" t="s">
        <v>260</v>
      </c>
      <c r="D326" s="36" t="s">
        <v>267</v>
      </c>
      <c r="E326" s="15" t="s">
        <v>46</v>
      </c>
      <c r="F326" s="14" t="s">
        <v>58</v>
      </c>
      <c r="G326" s="14" t="s">
        <v>64</v>
      </c>
      <c r="H326" s="78"/>
      <c r="I326" s="78"/>
      <c r="J326" s="78"/>
      <c r="K326" s="79"/>
      <c r="L326" s="79"/>
      <c r="M326" s="79"/>
      <c r="N326" s="121"/>
      <c r="O326" s="78"/>
      <c r="P326" s="294">
        <v>0</v>
      </c>
      <c r="Q326" s="183">
        <f t="shared" si="190"/>
        <v>0</v>
      </c>
      <c r="R326" s="78">
        <v>0</v>
      </c>
      <c r="S326" s="37"/>
      <c r="T326" s="81"/>
      <c r="U326" s="81"/>
      <c r="V326" s="81"/>
      <c r="W326" s="37">
        <f t="shared" si="191"/>
        <v>0</v>
      </c>
      <c r="X326" s="370"/>
      <c r="Y326" s="370"/>
      <c r="Z326" s="372"/>
      <c r="AA326" s="78">
        <v>0</v>
      </c>
      <c r="AB326" s="37">
        <f t="shared" si="192"/>
        <v>0</v>
      </c>
    </row>
    <row r="327" spans="1:28" ht="25.5" hidden="1" x14ac:dyDescent="0.2">
      <c r="A327" s="59" t="s">
        <v>485</v>
      </c>
      <c r="B327" s="154" t="s">
        <v>131</v>
      </c>
      <c r="C327" s="14" t="s">
        <v>260</v>
      </c>
      <c r="D327" s="36" t="s">
        <v>233</v>
      </c>
      <c r="E327" s="15" t="s">
        <v>46</v>
      </c>
      <c r="F327" s="14" t="s">
        <v>58</v>
      </c>
      <c r="G327" s="14" t="s">
        <v>64</v>
      </c>
      <c r="H327" s="37">
        <v>0</v>
      </c>
      <c r="I327" s="37"/>
      <c r="J327" s="37"/>
      <c r="K327" s="38"/>
      <c r="L327" s="38"/>
      <c r="M327" s="38"/>
      <c r="N327" s="39"/>
      <c r="O327" s="37"/>
      <c r="P327" s="291">
        <v>497279.29</v>
      </c>
      <c r="Q327" s="183">
        <f t="shared" si="190"/>
        <v>0</v>
      </c>
      <c r="R327" s="37"/>
      <c r="S327" s="81"/>
      <c r="T327" s="81"/>
      <c r="U327" s="81"/>
      <c r="V327" s="81"/>
      <c r="W327" s="37">
        <v>0</v>
      </c>
      <c r="X327" s="370"/>
      <c r="Y327" s="370"/>
      <c r="Z327" s="372"/>
      <c r="AA327" s="37"/>
      <c r="AB327" s="37">
        <v>0</v>
      </c>
    </row>
    <row r="328" spans="1:28" ht="38.25" hidden="1" x14ac:dyDescent="0.2">
      <c r="A328" s="59" t="s">
        <v>418</v>
      </c>
      <c r="B328" s="154" t="s">
        <v>131</v>
      </c>
      <c r="C328" s="14" t="s">
        <v>260</v>
      </c>
      <c r="D328" s="36" t="s">
        <v>270</v>
      </c>
      <c r="E328" s="15" t="s">
        <v>46</v>
      </c>
      <c r="F328" s="14" t="s">
        <v>51</v>
      </c>
      <c r="G328" s="14" t="s">
        <v>101</v>
      </c>
      <c r="H328" s="78">
        <f>374800+465200</f>
        <v>840000</v>
      </c>
      <c r="I328" s="78">
        <f>SUM(J328:M328)</f>
        <v>0</v>
      </c>
      <c r="J328" s="78"/>
      <c r="K328" s="79"/>
      <c r="L328" s="79">
        <v>0</v>
      </c>
      <c r="M328" s="79"/>
      <c r="N328" s="121">
        <f>H328+I328</f>
        <v>840000</v>
      </c>
      <c r="O328" s="78">
        <f>400000*80%</f>
        <v>320000</v>
      </c>
      <c r="P328" s="294">
        <v>0</v>
      </c>
      <c r="Q328" s="183">
        <f t="shared" si="190"/>
        <v>0</v>
      </c>
      <c r="R328" s="37">
        <v>0</v>
      </c>
      <c r="S328" s="81"/>
      <c r="T328" s="81"/>
      <c r="U328" s="81"/>
      <c r="V328" s="81"/>
      <c r="W328" s="37">
        <f t="shared" si="191"/>
        <v>0</v>
      </c>
      <c r="X328" s="370"/>
      <c r="Y328" s="370"/>
      <c r="Z328" s="372"/>
      <c r="AA328" s="37">
        <v>0</v>
      </c>
      <c r="AB328" s="37">
        <f t="shared" si="192"/>
        <v>0</v>
      </c>
    </row>
    <row r="329" spans="1:28" ht="38.25" x14ac:dyDescent="0.2">
      <c r="A329" s="59" t="s">
        <v>418</v>
      </c>
      <c r="B329" s="154" t="s">
        <v>131</v>
      </c>
      <c r="C329" s="14" t="s">
        <v>260</v>
      </c>
      <c r="D329" s="36" t="s">
        <v>453</v>
      </c>
      <c r="E329" s="15" t="s">
        <v>46</v>
      </c>
      <c r="F329" s="14" t="s">
        <v>51</v>
      </c>
      <c r="G329" s="14" t="s">
        <v>101</v>
      </c>
      <c r="H329" s="78"/>
      <c r="I329" s="78"/>
      <c r="J329" s="78"/>
      <c r="K329" s="79"/>
      <c r="L329" s="79"/>
      <c r="M329" s="79"/>
      <c r="N329" s="121"/>
      <c r="O329" s="78"/>
      <c r="P329" s="294">
        <v>300000</v>
      </c>
      <c r="Q329" s="183">
        <f t="shared" si="190"/>
        <v>0</v>
      </c>
      <c r="R329" s="37"/>
      <c r="S329" s="81"/>
      <c r="T329" s="81"/>
      <c r="U329" s="81"/>
      <c r="V329" s="81"/>
      <c r="W329" s="183">
        <v>300000</v>
      </c>
      <c r="X329" s="370"/>
      <c r="Y329" s="370"/>
      <c r="Z329" s="372"/>
      <c r="AA329" s="37">
        <v>300000</v>
      </c>
      <c r="AB329" s="37">
        <v>300000</v>
      </c>
    </row>
    <row r="330" spans="1:28" ht="25.5" hidden="1" x14ac:dyDescent="0.2">
      <c r="A330" s="59" t="s">
        <v>495</v>
      </c>
      <c r="B330" s="154" t="s">
        <v>131</v>
      </c>
      <c r="C330" s="14" t="s">
        <v>260</v>
      </c>
      <c r="D330" s="36" t="s">
        <v>474</v>
      </c>
      <c r="E330" s="15" t="s">
        <v>46</v>
      </c>
      <c r="F330" s="14" t="s">
        <v>58</v>
      </c>
      <c r="G330" s="14" t="s">
        <v>64</v>
      </c>
      <c r="H330" s="78">
        <f>374800+465200</f>
        <v>840000</v>
      </c>
      <c r="I330" s="78">
        <f>SUM(J330:M330)</f>
        <v>0</v>
      </c>
      <c r="J330" s="78"/>
      <c r="K330" s="79"/>
      <c r="L330" s="79">
        <v>0</v>
      </c>
      <c r="M330" s="79"/>
      <c r="N330" s="121">
        <f>H330+I330</f>
        <v>840000</v>
      </c>
      <c r="O330" s="78">
        <f>400000*80%</f>
        <v>320000</v>
      </c>
      <c r="P330" s="294">
        <v>85212.5</v>
      </c>
      <c r="Q330" s="183">
        <f t="shared" si="190"/>
        <v>0</v>
      </c>
      <c r="R330" s="37"/>
      <c r="S330" s="81"/>
      <c r="T330" s="81"/>
      <c r="U330" s="81"/>
      <c r="V330" s="81"/>
      <c r="W330" s="183">
        <v>0</v>
      </c>
      <c r="X330" s="370"/>
      <c r="Y330" s="370"/>
      <c r="Z330" s="372"/>
      <c r="AA330" s="37">
        <v>85212.5</v>
      </c>
      <c r="AB330" s="37">
        <v>0</v>
      </c>
    </row>
    <row r="331" spans="1:28" ht="25.5" hidden="1" x14ac:dyDescent="0.2">
      <c r="A331" s="59" t="s">
        <v>495</v>
      </c>
      <c r="B331" s="154" t="s">
        <v>131</v>
      </c>
      <c r="C331" s="14" t="s">
        <v>260</v>
      </c>
      <c r="D331" s="36" t="s">
        <v>474</v>
      </c>
      <c r="E331" s="15" t="s">
        <v>46</v>
      </c>
      <c r="F331" s="14" t="s">
        <v>73</v>
      </c>
      <c r="G331" s="14" t="s">
        <v>75</v>
      </c>
      <c r="H331" s="37"/>
      <c r="I331" s="37"/>
      <c r="J331" s="37"/>
      <c r="K331" s="38"/>
      <c r="L331" s="38"/>
      <c r="M331" s="38"/>
      <c r="N331" s="39"/>
      <c r="O331" s="37"/>
      <c r="P331" s="291">
        <v>500000</v>
      </c>
      <c r="Q331" s="183">
        <f t="shared" si="190"/>
        <v>0</v>
      </c>
      <c r="R331" s="37"/>
      <c r="S331" s="81"/>
      <c r="T331" s="81"/>
      <c r="U331" s="81"/>
      <c r="V331" s="81"/>
      <c r="W331" s="183">
        <v>0</v>
      </c>
      <c r="X331" s="370"/>
      <c r="Y331" s="370"/>
      <c r="Z331" s="372"/>
      <c r="AA331" s="37"/>
      <c r="AB331" s="37">
        <v>0</v>
      </c>
    </row>
    <row r="332" spans="1:28" x14ac:dyDescent="0.2">
      <c r="A332" s="59" t="s">
        <v>547</v>
      </c>
      <c r="B332" s="330" t="s">
        <v>131</v>
      </c>
      <c r="C332" s="331" t="s">
        <v>260</v>
      </c>
      <c r="D332" s="187" t="s">
        <v>233</v>
      </c>
      <c r="E332" s="332" t="s">
        <v>46</v>
      </c>
      <c r="F332" s="331" t="s">
        <v>58</v>
      </c>
      <c r="G332" s="331" t="s">
        <v>64</v>
      </c>
      <c r="H332" s="183"/>
      <c r="I332" s="183"/>
      <c r="J332" s="183"/>
      <c r="K332" s="335"/>
      <c r="L332" s="335"/>
      <c r="M332" s="335"/>
      <c r="N332" s="325"/>
      <c r="O332" s="183"/>
      <c r="P332" s="291">
        <v>50000.01</v>
      </c>
      <c r="Q332" s="183">
        <f t="shared" si="190"/>
        <v>48470</v>
      </c>
      <c r="R332" s="37"/>
      <c r="S332" s="81">
        <v>48470</v>
      </c>
      <c r="T332" s="81"/>
      <c r="U332" s="81"/>
      <c r="V332" s="81"/>
      <c r="W332" s="183">
        <v>50000</v>
      </c>
      <c r="X332" s="370"/>
      <c r="Y332" s="370"/>
      <c r="Z332" s="372"/>
      <c r="AA332" s="37"/>
      <c r="AB332" s="37">
        <v>50000</v>
      </c>
    </row>
    <row r="333" spans="1:28" hidden="1" x14ac:dyDescent="0.2">
      <c r="A333" s="12" t="s">
        <v>268</v>
      </c>
      <c r="B333" s="330" t="s">
        <v>131</v>
      </c>
      <c r="C333" s="331" t="s">
        <v>260</v>
      </c>
      <c r="D333" s="187" t="s">
        <v>233</v>
      </c>
      <c r="E333" s="332" t="s">
        <v>46</v>
      </c>
      <c r="F333" s="331" t="s">
        <v>58</v>
      </c>
      <c r="G333" s="331" t="s">
        <v>64</v>
      </c>
      <c r="H333" s="183">
        <v>0</v>
      </c>
      <c r="I333" s="183"/>
      <c r="J333" s="183"/>
      <c r="K333" s="335"/>
      <c r="L333" s="335"/>
      <c r="M333" s="335"/>
      <c r="N333" s="325"/>
      <c r="O333" s="183"/>
      <c r="P333" s="291">
        <v>0</v>
      </c>
      <c r="Q333" s="183">
        <f t="shared" si="190"/>
        <v>0</v>
      </c>
      <c r="R333" s="37"/>
      <c r="S333" s="81"/>
      <c r="T333" s="81"/>
      <c r="U333" s="81"/>
      <c r="V333" s="81"/>
      <c r="W333" s="183">
        <f t="shared" si="191"/>
        <v>0</v>
      </c>
      <c r="X333" s="370"/>
      <c r="Y333" s="370"/>
      <c r="Z333" s="372"/>
      <c r="AA333" s="37"/>
      <c r="AB333" s="37">
        <f t="shared" si="192"/>
        <v>0</v>
      </c>
    </row>
    <row r="334" spans="1:28" s="80" customFormat="1" hidden="1" x14ac:dyDescent="0.2">
      <c r="A334" s="12" t="s">
        <v>269</v>
      </c>
      <c r="B334" s="330" t="s">
        <v>131</v>
      </c>
      <c r="C334" s="331" t="s">
        <v>260</v>
      </c>
      <c r="D334" s="187" t="s">
        <v>270</v>
      </c>
      <c r="E334" s="203" t="s">
        <v>46</v>
      </c>
      <c r="F334" s="187" t="s">
        <v>51</v>
      </c>
      <c r="G334" s="187" t="s">
        <v>101</v>
      </c>
      <c r="H334" s="181">
        <v>300000</v>
      </c>
      <c r="I334" s="183">
        <f>SUM(J334:M334)</f>
        <v>0</v>
      </c>
      <c r="J334" s="181">
        <v>0</v>
      </c>
      <c r="K334" s="324"/>
      <c r="L334" s="324"/>
      <c r="M334" s="324"/>
      <c r="N334" s="325">
        <f>H334+I334</f>
        <v>300000</v>
      </c>
      <c r="O334" s="181">
        <f>300000*80%</f>
        <v>240000</v>
      </c>
      <c r="P334" s="294">
        <v>0</v>
      </c>
      <c r="Q334" s="183">
        <f t="shared" si="190"/>
        <v>0</v>
      </c>
      <c r="R334" s="78"/>
      <c r="S334" s="81"/>
      <c r="T334" s="81"/>
      <c r="U334" s="81"/>
      <c r="V334" s="81"/>
      <c r="W334" s="183">
        <f t="shared" si="191"/>
        <v>0</v>
      </c>
      <c r="X334" s="373"/>
      <c r="Y334" s="373"/>
      <c r="Z334" s="374"/>
      <c r="AA334" s="78"/>
      <c r="AB334" s="37">
        <f t="shared" si="192"/>
        <v>0</v>
      </c>
    </row>
    <row r="335" spans="1:28" ht="25.5" x14ac:dyDescent="0.2">
      <c r="A335" s="12" t="s">
        <v>271</v>
      </c>
      <c r="B335" s="330" t="s">
        <v>131</v>
      </c>
      <c r="C335" s="331" t="s">
        <v>260</v>
      </c>
      <c r="D335" s="187" t="s">
        <v>453</v>
      </c>
      <c r="E335" s="332" t="s">
        <v>46</v>
      </c>
      <c r="F335" s="331" t="s">
        <v>88</v>
      </c>
      <c r="G335" s="331" t="s">
        <v>139</v>
      </c>
      <c r="H335" s="183">
        <v>1508201.88</v>
      </c>
      <c r="I335" s="183">
        <f>SUM(J335:M335)</f>
        <v>100000</v>
      </c>
      <c r="J335" s="183">
        <v>0</v>
      </c>
      <c r="K335" s="335"/>
      <c r="L335" s="335"/>
      <c r="M335" s="335">
        <v>100000</v>
      </c>
      <c r="N335" s="325">
        <f>H335+I335</f>
        <v>1608201.88</v>
      </c>
      <c r="O335" s="183">
        <f>1508201.88*80%</f>
        <v>1206561.504</v>
      </c>
      <c r="P335" s="291">
        <v>855797.99</v>
      </c>
      <c r="Q335" s="183">
        <f t="shared" si="190"/>
        <v>0</v>
      </c>
      <c r="R335" s="37"/>
      <c r="S335" s="81"/>
      <c r="T335" s="81"/>
      <c r="U335" s="37"/>
      <c r="V335" s="37"/>
      <c r="W335" s="183">
        <v>924378.67</v>
      </c>
      <c r="X335" s="370"/>
      <c r="Y335" s="370"/>
      <c r="Z335" s="372"/>
      <c r="AA335" s="37"/>
      <c r="AB335" s="37">
        <v>924378.67</v>
      </c>
    </row>
    <row r="336" spans="1:28" ht="38.25" hidden="1" x14ac:dyDescent="0.2">
      <c r="A336" s="12" t="s">
        <v>272</v>
      </c>
      <c r="B336" s="330" t="s">
        <v>131</v>
      </c>
      <c r="C336" s="331" t="s">
        <v>260</v>
      </c>
      <c r="D336" s="187" t="s">
        <v>273</v>
      </c>
      <c r="E336" s="332" t="s">
        <v>46</v>
      </c>
      <c r="F336" s="331" t="s">
        <v>51</v>
      </c>
      <c r="G336" s="331" t="s">
        <v>101</v>
      </c>
      <c r="H336" s="183">
        <v>0</v>
      </c>
      <c r="I336" s="183"/>
      <c r="J336" s="183"/>
      <c r="K336" s="335"/>
      <c r="L336" s="335"/>
      <c r="M336" s="335"/>
      <c r="N336" s="325"/>
      <c r="O336" s="183"/>
      <c r="P336" s="291">
        <v>0</v>
      </c>
      <c r="Q336" s="183">
        <f t="shared" si="190"/>
        <v>0</v>
      </c>
      <c r="R336" s="37"/>
      <c r="S336" s="81"/>
      <c r="T336" s="81"/>
      <c r="U336" s="37"/>
      <c r="V336" s="37"/>
      <c r="W336" s="183">
        <f t="shared" si="191"/>
        <v>0</v>
      </c>
      <c r="X336" s="370"/>
      <c r="Y336" s="370"/>
      <c r="Z336" s="372"/>
      <c r="AA336" s="37"/>
      <c r="AB336" s="37">
        <f t="shared" si="192"/>
        <v>0</v>
      </c>
    </row>
    <row r="337" spans="1:28" ht="25.5" x14ac:dyDescent="0.2">
      <c r="A337" s="12" t="s">
        <v>493</v>
      </c>
      <c r="B337" s="330" t="s">
        <v>131</v>
      </c>
      <c r="C337" s="331" t="s">
        <v>260</v>
      </c>
      <c r="D337" s="187" t="s">
        <v>452</v>
      </c>
      <c r="E337" s="203" t="s">
        <v>46</v>
      </c>
      <c r="F337" s="187" t="s">
        <v>51</v>
      </c>
      <c r="G337" s="331" t="s">
        <v>53</v>
      </c>
      <c r="H337" s="183"/>
      <c r="I337" s="183"/>
      <c r="J337" s="183"/>
      <c r="K337" s="335"/>
      <c r="L337" s="335"/>
      <c r="M337" s="335"/>
      <c r="N337" s="325"/>
      <c r="O337" s="183"/>
      <c r="P337" s="294">
        <v>210000</v>
      </c>
      <c r="Q337" s="183">
        <f t="shared" si="190"/>
        <v>0</v>
      </c>
      <c r="R337" s="37"/>
      <c r="S337" s="81"/>
      <c r="T337" s="81"/>
      <c r="U337" s="37"/>
      <c r="V337" s="37"/>
      <c r="W337" s="183">
        <v>210000</v>
      </c>
      <c r="X337" s="370"/>
      <c r="Y337" s="370"/>
      <c r="Z337" s="372"/>
      <c r="AA337" s="37"/>
      <c r="AB337" s="37">
        <v>210000</v>
      </c>
    </row>
    <row r="338" spans="1:28" ht="25.5" hidden="1" x14ac:dyDescent="0.2">
      <c r="A338" s="12" t="s">
        <v>493</v>
      </c>
      <c r="B338" s="330" t="s">
        <v>131</v>
      </c>
      <c r="C338" s="331" t="s">
        <v>260</v>
      </c>
      <c r="D338" s="187" t="s">
        <v>452</v>
      </c>
      <c r="E338" s="203" t="s">
        <v>46</v>
      </c>
      <c r="F338" s="187" t="s">
        <v>51</v>
      </c>
      <c r="G338" s="187" t="s">
        <v>101</v>
      </c>
      <c r="H338" s="181">
        <v>396000</v>
      </c>
      <c r="I338" s="183">
        <f>SUM(J338:M338)</f>
        <v>0</v>
      </c>
      <c r="J338" s="181">
        <v>0</v>
      </c>
      <c r="K338" s="324"/>
      <c r="L338" s="324"/>
      <c r="M338" s="324">
        <v>0</v>
      </c>
      <c r="N338" s="325">
        <f>H338+I338</f>
        <v>396000</v>
      </c>
      <c r="O338" s="181">
        <f>396000*80%</f>
        <v>316800</v>
      </c>
      <c r="P338" s="294">
        <v>0</v>
      </c>
      <c r="Q338" s="183">
        <f t="shared" si="190"/>
        <v>0</v>
      </c>
      <c r="R338" s="78"/>
      <c r="S338" s="81"/>
      <c r="T338" s="81"/>
      <c r="U338" s="37"/>
      <c r="V338" s="37"/>
      <c r="W338" s="183">
        <f t="shared" si="191"/>
        <v>0</v>
      </c>
      <c r="X338" s="370"/>
      <c r="Y338" s="370"/>
      <c r="Z338" s="372"/>
      <c r="AA338" s="78"/>
      <c r="AB338" s="37">
        <f t="shared" si="192"/>
        <v>0</v>
      </c>
    </row>
    <row r="339" spans="1:28" ht="38.25" hidden="1" x14ac:dyDescent="0.2">
      <c r="A339" s="12" t="s">
        <v>439</v>
      </c>
      <c r="B339" s="330" t="s">
        <v>131</v>
      </c>
      <c r="C339" s="331" t="s">
        <v>260</v>
      </c>
      <c r="D339" s="187" t="s">
        <v>273</v>
      </c>
      <c r="E339" s="203" t="s">
        <v>46</v>
      </c>
      <c r="F339" s="187" t="s">
        <v>58</v>
      </c>
      <c r="G339" s="187" t="s">
        <v>64</v>
      </c>
      <c r="H339" s="181"/>
      <c r="I339" s="183"/>
      <c r="J339" s="181"/>
      <c r="K339" s="324"/>
      <c r="L339" s="324"/>
      <c r="M339" s="324"/>
      <c r="N339" s="325"/>
      <c r="O339" s="181"/>
      <c r="P339" s="294">
        <v>0</v>
      </c>
      <c r="Q339" s="183">
        <f t="shared" si="190"/>
        <v>0</v>
      </c>
      <c r="R339" s="78">
        <v>0</v>
      </c>
      <c r="S339" s="81"/>
      <c r="T339" s="81"/>
      <c r="U339" s="37"/>
      <c r="V339" s="37"/>
      <c r="W339" s="183">
        <f t="shared" si="191"/>
        <v>0</v>
      </c>
      <c r="X339" s="370"/>
      <c r="Y339" s="370"/>
      <c r="Z339" s="372"/>
      <c r="AA339" s="78">
        <v>0</v>
      </c>
      <c r="AB339" s="37">
        <f t="shared" si="192"/>
        <v>0</v>
      </c>
    </row>
    <row r="340" spans="1:28" ht="38.25" hidden="1" x14ac:dyDescent="0.2">
      <c r="A340" s="12" t="s">
        <v>438</v>
      </c>
      <c r="B340" s="330" t="s">
        <v>131</v>
      </c>
      <c r="C340" s="331" t="s">
        <v>260</v>
      </c>
      <c r="D340" s="187" t="s">
        <v>273</v>
      </c>
      <c r="E340" s="203" t="s">
        <v>46</v>
      </c>
      <c r="F340" s="187" t="s">
        <v>77</v>
      </c>
      <c r="G340" s="187" t="s">
        <v>81</v>
      </c>
      <c r="H340" s="181"/>
      <c r="I340" s="183"/>
      <c r="J340" s="181"/>
      <c r="K340" s="324"/>
      <c r="L340" s="324"/>
      <c r="M340" s="324"/>
      <c r="N340" s="325"/>
      <c r="O340" s="181"/>
      <c r="P340" s="294">
        <v>0</v>
      </c>
      <c r="Q340" s="183">
        <f t="shared" si="190"/>
        <v>0</v>
      </c>
      <c r="R340" s="181">
        <v>0</v>
      </c>
      <c r="S340" s="333"/>
      <c r="T340" s="333"/>
      <c r="U340" s="183"/>
      <c r="V340" s="183"/>
      <c r="W340" s="183">
        <f t="shared" si="191"/>
        <v>0</v>
      </c>
      <c r="X340" s="370"/>
      <c r="Y340" s="370"/>
      <c r="Z340" s="372"/>
      <c r="AA340" s="181">
        <v>0</v>
      </c>
      <c r="AB340" s="37">
        <f t="shared" si="192"/>
        <v>0</v>
      </c>
    </row>
    <row r="341" spans="1:28" ht="38.25" x14ac:dyDescent="0.2">
      <c r="A341" s="167" t="s">
        <v>274</v>
      </c>
      <c r="B341" s="330" t="s">
        <v>131</v>
      </c>
      <c r="C341" s="331" t="s">
        <v>260</v>
      </c>
      <c r="D341" s="187" t="s">
        <v>452</v>
      </c>
      <c r="E341" s="332" t="s">
        <v>46</v>
      </c>
      <c r="F341" s="331" t="s">
        <v>58</v>
      </c>
      <c r="G341" s="331" t="s">
        <v>64</v>
      </c>
      <c r="H341" s="183">
        <v>70000</v>
      </c>
      <c r="I341" s="183">
        <f>SUM(J341:M341)</f>
        <v>-100000</v>
      </c>
      <c r="J341" s="183">
        <v>0</v>
      </c>
      <c r="K341" s="335">
        <v>0</v>
      </c>
      <c r="L341" s="335">
        <v>0</v>
      </c>
      <c r="M341" s="335">
        <v>-100000</v>
      </c>
      <c r="N341" s="325">
        <f>H341+I341</f>
        <v>-30000</v>
      </c>
      <c r="O341" s="183">
        <f>70000*80%</f>
        <v>56000</v>
      </c>
      <c r="P341" s="291">
        <v>70000</v>
      </c>
      <c r="Q341" s="183">
        <f t="shared" si="190"/>
        <v>0</v>
      </c>
      <c r="R341" s="183"/>
      <c r="S341" s="333"/>
      <c r="T341" s="333"/>
      <c r="U341" s="183"/>
      <c r="V341" s="183"/>
      <c r="W341" s="183">
        <v>70000</v>
      </c>
      <c r="X341" s="370"/>
      <c r="Y341" s="370"/>
      <c r="Z341" s="372"/>
      <c r="AA341" s="183">
        <v>70000</v>
      </c>
      <c r="AB341" s="37">
        <v>70000</v>
      </c>
    </row>
    <row r="342" spans="1:28" ht="38.25" hidden="1" x14ac:dyDescent="0.2">
      <c r="A342" s="168" t="s">
        <v>275</v>
      </c>
      <c r="B342" s="330" t="s">
        <v>131</v>
      </c>
      <c r="C342" s="331" t="s">
        <v>260</v>
      </c>
      <c r="D342" s="187" t="s">
        <v>276</v>
      </c>
      <c r="E342" s="332"/>
      <c r="F342" s="331" t="s">
        <v>58</v>
      </c>
      <c r="G342" s="331" t="s">
        <v>64</v>
      </c>
      <c r="H342" s="183">
        <v>70000</v>
      </c>
      <c r="I342" s="183">
        <f>SUM(J342:M342)</f>
        <v>-100000</v>
      </c>
      <c r="J342" s="183">
        <v>0</v>
      </c>
      <c r="K342" s="335">
        <v>0</v>
      </c>
      <c r="L342" s="335">
        <v>0</v>
      </c>
      <c r="M342" s="335">
        <v>-100000</v>
      </c>
      <c r="N342" s="325">
        <f>H342+I342</f>
        <v>-30000</v>
      </c>
      <c r="O342" s="183">
        <f>70000*80%</f>
        <v>56000</v>
      </c>
      <c r="P342" s="291">
        <v>0</v>
      </c>
      <c r="Q342" s="183">
        <f t="shared" si="190"/>
        <v>0</v>
      </c>
      <c r="R342" s="183"/>
      <c r="S342" s="333"/>
      <c r="T342" s="333"/>
      <c r="U342" s="183"/>
      <c r="V342" s="183"/>
      <c r="W342" s="37">
        <f t="shared" si="191"/>
        <v>0</v>
      </c>
      <c r="X342" s="370"/>
      <c r="Y342" s="370"/>
      <c r="Z342" s="372"/>
      <c r="AA342" s="183"/>
      <c r="AB342" s="37">
        <f t="shared" si="192"/>
        <v>0</v>
      </c>
    </row>
    <row r="343" spans="1:28" ht="25.5" hidden="1" x14ac:dyDescent="0.2">
      <c r="A343" s="167" t="s">
        <v>277</v>
      </c>
      <c r="B343" s="330" t="s">
        <v>131</v>
      </c>
      <c r="C343" s="331" t="s">
        <v>260</v>
      </c>
      <c r="D343" s="187" t="s">
        <v>278</v>
      </c>
      <c r="E343" s="332" t="s">
        <v>46</v>
      </c>
      <c r="F343" s="331" t="s">
        <v>66</v>
      </c>
      <c r="G343" s="331" t="s">
        <v>69</v>
      </c>
      <c r="H343" s="183">
        <v>70000</v>
      </c>
      <c r="I343" s="183">
        <f>SUM(J343:M343)</f>
        <v>-100000</v>
      </c>
      <c r="J343" s="183">
        <v>0</v>
      </c>
      <c r="K343" s="335">
        <v>0</v>
      </c>
      <c r="L343" s="335">
        <v>0</v>
      </c>
      <c r="M343" s="335">
        <v>-100000</v>
      </c>
      <c r="N343" s="325">
        <f>H343+I343</f>
        <v>-30000</v>
      </c>
      <c r="O343" s="183">
        <f>70000*80%</f>
        <v>56000</v>
      </c>
      <c r="P343" s="291">
        <v>0</v>
      </c>
      <c r="Q343" s="183">
        <f t="shared" si="190"/>
        <v>0</v>
      </c>
      <c r="R343" s="183"/>
      <c r="S343" s="333"/>
      <c r="T343" s="333"/>
      <c r="U343" s="183">
        <v>0</v>
      </c>
      <c r="V343" s="183"/>
      <c r="W343" s="37">
        <f t="shared" si="191"/>
        <v>0</v>
      </c>
      <c r="X343" s="370"/>
      <c r="Y343" s="370"/>
      <c r="Z343" s="372"/>
      <c r="AA343" s="183"/>
      <c r="AB343" s="37">
        <f t="shared" si="192"/>
        <v>0</v>
      </c>
    </row>
    <row r="344" spans="1:28" ht="25.5" hidden="1" x14ac:dyDescent="0.2">
      <c r="A344" s="167" t="s">
        <v>424</v>
      </c>
      <c r="B344" s="330" t="s">
        <v>131</v>
      </c>
      <c r="C344" s="331" t="s">
        <v>260</v>
      </c>
      <c r="D344" s="187" t="s">
        <v>233</v>
      </c>
      <c r="E344" s="332" t="s">
        <v>46</v>
      </c>
      <c r="F344" s="331" t="s">
        <v>58</v>
      </c>
      <c r="G344" s="331" t="s">
        <v>64</v>
      </c>
      <c r="H344" s="183"/>
      <c r="I344" s="183"/>
      <c r="J344" s="183"/>
      <c r="K344" s="335"/>
      <c r="L344" s="335"/>
      <c r="M344" s="335"/>
      <c r="N344" s="325"/>
      <c r="O344" s="183"/>
      <c r="P344" s="291">
        <v>0</v>
      </c>
      <c r="Q344" s="183">
        <f t="shared" si="190"/>
        <v>0</v>
      </c>
      <c r="R344" s="183"/>
      <c r="S344" s="333"/>
      <c r="T344" s="333">
        <v>0</v>
      </c>
      <c r="U344" s="336"/>
      <c r="V344" s="336"/>
      <c r="W344" s="37">
        <f t="shared" si="191"/>
        <v>0</v>
      </c>
      <c r="X344" s="370"/>
      <c r="Y344" s="370"/>
      <c r="Z344" s="372"/>
      <c r="AA344" s="183"/>
      <c r="AB344" s="37">
        <f t="shared" si="192"/>
        <v>0</v>
      </c>
    </row>
    <row r="345" spans="1:28" ht="51" hidden="1" x14ac:dyDescent="0.2">
      <c r="A345" s="167" t="s">
        <v>471</v>
      </c>
      <c r="B345" s="154" t="s">
        <v>131</v>
      </c>
      <c r="C345" s="14" t="s">
        <v>260</v>
      </c>
      <c r="D345" s="36" t="s">
        <v>233</v>
      </c>
      <c r="E345" s="15" t="s">
        <v>46</v>
      </c>
      <c r="F345" s="14" t="s">
        <v>73</v>
      </c>
      <c r="G345" s="14" t="s">
        <v>75</v>
      </c>
      <c r="H345" s="37"/>
      <c r="I345" s="37"/>
      <c r="J345" s="37"/>
      <c r="K345" s="38"/>
      <c r="L345" s="38"/>
      <c r="M345" s="38"/>
      <c r="N345" s="39"/>
      <c r="O345" s="37"/>
      <c r="P345" s="291">
        <v>477700</v>
      </c>
      <c r="Q345" s="183">
        <f t="shared" si="190"/>
        <v>0</v>
      </c>
      <c r="R345" s="37"/>
      <c r="S345" s="81"/>
      <c r="T345" s="81"/>
      <c r="U345" s="81"/>
      <c r="V345" s="81"/>
      <c r="W345" s="37">
        <v>0</v>
      </c>
      <c r="X345" s="370"/>
      <c r="Y345" s="370"/>
      <c r="Z345" s="372"/>
      <c r="AA345" s="37"/>
      <c r="AB345" s="37">
        <v>0</v>
      </c>
    </row>
    <row r="346" spans="1:28" hidden="1" x14ac:dyDescent="0.2">
      <c r="A346" s="167" t="s">
        <v>494</v>
      </c>
      <c r="B346" s="154" t="s">
        <v>131</v>
      </c>
      <c r="C346" s="14" t="s">
        <v>260</v>
      </c>
      <c r="D346" s="36" t="s">
        <v>233</v>
      </c>
      <c r="E346" s="15" t="s">
        <v>46</v>
      </c>
      <c r="F346" s="14" t="s">
        <v>73</v>
      </c>
      <c r="G346" s="14" t="s">
        <v>75</v>
      </c>
      <c r="H346" s="37"/>
      <c r="I346" s="37"/>
      <c r="J346" s="37"/>
      <c r="K346" s="38"/>
      <c r="L346" s="38"/>
      <c r="M346" s="38"/>
      <c r="N346" s="39"/>
      <c r="O346" s="37"/>
      <c r="P346" s="291">
        <v>75000</v>
      </c>
      <c r="Q346" s="183">
        <f>R346+S346+T346+U346+V346</f>
        <v>0</v>
      </c>
      <c r="R346" s="37"/>
      <c r="S346" s="81"/>
      <c r="T346" s="81"/>
      <c r="U346" s="81"/>
      <c r="V346" s="81"/>
      <c r="W346" s="37">
        <v>0</v>
      </c>
      <c r="X346" s="370"/>
      <c r="Y346" s="370"/>
      <c r="Z346" s="372"/>
      <c r="AA346" s="37"/>
      <c r="AB346" s="37">
        <v>0</v>
      </c>
    </row>
    <row r="347" spans="1:28" x14ac:dyDescent="0.2">
      <c r="A347" s="40" t="s">
        <v>279</v>
      </c>
      <c r="B347" s="185" t="s">
        <v>131</v>
      </c>
      <c r="C347" s="186" t="s">
        <v>280</v>
      </c>
      <c r="D347" s="24" t="s">
        <v>281</v>
      </c>
      <c r="E347" s="25" t="s">
        <v>19</v>
      </c>
      <c r="F347" s="24"/>
      <c r="G347" s="24"/>
      <c r="H347" s="26">
        <f t="shared" ref="H347:N347" si="193">H348+H354+H374+H370</f>
        <v>4230785.21</v>
      </c>
      <c r="I347" s="26">
        <f t="shared" si="193"/>
        <v>0</v>
      </c>
      <c r="J347" s="26">
        <f t="shared" si="193"/>
        <v>0</v>
      </c>
      <c r="K347" s="27">
        <f t="shared" si="193"/>
        <v>0</v>
      </c>
      <c r="L347" s="27">
        <f t="shared" si="193"/>
        <v>0</v>
      </c>
      <c r="M347" s="27">
        <f t="shared" si="193"/>
        <v>0</v>
      </c>
      <c r="N347" s="28">
        <f t="shared" si="193"/>
        <v>4210150.21</v>
      </c>
      <c r="O347" s="26">
        <f>O348+O354+O374+O370</f>
        <v>4155675.21</v>
      </c>
      <c r="P347" s="280">
        <f>P348+P354+P374+P370</f>
        <v>4152673.51</v>
      </c>
      <c r="Q347" s="280">
        <f t="shared" ref="Q347:W347" si="194">Q348+Q354+Q374+Q370</f>
        <v>-64616.5</v>
      </c>
      <c r="R347" s="280">
        <f t="shared" si="194"/>
        <v>-64616.5</v>
      </c>
      <c r="S347" s="280">
        <f t="shared" si="194"/>
        <v>0</v>
      </c>
      <c r="T347" s="280">
        <f t="shared" si="194"/>
        <v>0</v>
      </c>
      <c r="U347" s="280">
        <f t="shared" si="194"/>
        <v>0</v>
      </c>
      <c r="V347" s="280">
        <f t="shared" si="194"/>
        <v>0</v>
      </c>
      <c r="W347" s="280">
        <f t="shared" si="194"/>
        <v>4647562</v>
      </c>
      <c r="X347" s="320"/>
      <c r="Y347" s="320"/>
      <c r="Z347" s="353"/>
      <c r="AA347" s="280">
        <f>AA348+AA354+AA374+AA370</f>
        <v>0</v>
      </c>
      <c r="AB347" s="280">
        <f t="shared" ref="AB347" si="195">AB348+AB354+AB374+AB370</f>
        <v>4647562</v>
      </c>
    </row>
    <row r="348" spans="1:28" ht="25.5" x14ac:dyDescent="0.2">
      <c r="A348" s="29" t="s">
        <v>24</v>
      </c>
      <c r="B348" s="154" t="s">
        <v>131</v>
      </c>
      <c r="C348" s="14" t="s">
        <v>280</v>
      </c>
      <c r="D348" s="187" t="s">
        <v>281</v>
      </c>
      <c r="E348" s="32" t="s">
        <v>19</v>
      </c>
      <c r="F348" s="31" t="s">
        <v>25</v>
      </c>
      <c r="G348" s="31"/>
      <c r="H348" s="33">
        <f t="shared" ref="H348:N348" si="196">H349+H350+H353</f>
        <v>3855285.21</v>
      </c>
      <c r="I348" s="33">
        <f t="shared" si="196"/>
        <v>0</v>
      </c>
      <c r="J348" s="33">
        <f t="shared" si="196"/>
        <v>0</v>
      </c>
      <c r="K348" s="34">
        <f t="shared" si="196"/>
        <v>0</v>
      </c>
      <c r="L348" s="34">
        <f t="shared" si="196"/>
        <v>0</v>
      </c>
      <c r="M348" s="34">
        <f t="shared" si="196"/>
        <v>0</v>
      </c>
      <c r="N348" s="35">
        <f t="shared" si="196"/>
        <v>3855285.21</v>
      </c>
      <c r="O348" s="33">
        <f>O349+O350+O353</f>
        <v>3854775.21</v>
      </c>
      <c r="P348" s="281">
        <f>P349+P350+P353</f>
        <v>3886995.21</v>
      </c>
      <c r="Q348" s="281">
        <f t="shared" ref="Q348:V348" si="197">Q349+Q350+Q353</f>
        <v>-64616.5</v>
      </c>
      <c r="R348" s="281">
        <f t="shared" si="197"/>
        <v>-64616.5</v>
      </c>
      <c r="S348" s="281">
        <f t="shared" si="197"/>
        <v>0</v>
      </c>
      <c r="T348" s="281">
        <f t="shared" si="197"/>
        <v>0</v>
      </c>
      <c r="U348" s="281">
        <f t="shared" si="197"/>
        <v>0</v>
      </c>
      <c r="V348" s="281">
        <f t="shared" si="197"/>
        <v>0</v>
      </c>
      <c r="W348" s="281">
        <f>W349+W350+W353</f>
        <v>4381883.7</v>
      </c>
      <c r="X348" s="320"/>
      <c r="Y348" s="320"/>
      <c r="Z348" s="353"/>
      <c r="AA348" s="281">
        <f>AA349+AA350+AA353</f>
        <v>0</v>
      </c>
      <c r="AB348" s="281">
        <f t="shared" ref="AB348" si="198">AB349+AB350+AB353</f>
        <v>4381883.7</v>
      </c>
    </row>
    <row r="349" spans="1:28" x14ac:dyDescent="0.2">
      <c r="A349" s="12" t="s">
        <v>26</v>
      </c>
      <c r="B349" s="154" t="s">
        <v>131</v>
      </c>
      <c r="C349" s="14" t="s">
        <v>280</v>
      </c>
      <c r="D349" s="187" t="s">
        <v>281</v>
      </c>
      <c r="E349" s="15" t="s">
        <v>282</v>
      </c>
      <c r="F349" s="14" t="s">
        <v>27</v>
      </c>
      <c r="G349" s="14"/>
      <c r="H349" s="37">
        <v>2797799.7</v>
      </c>
      <c r="I349" s="37">
        <f>SUM(J349:M349)</f>
        <v>0</v>
      </c>
      <c r="J349" s="37">
        <v>0</v>
      </c>
      <c r="K349" s="38">
        <v>0</v>
      </c>
      <c r="L349" s="38">
        <v>0</v>
      </c>
      <c r="M349" s="38">
        <v>0</v>
      </c>
      <c r="N349" s="39">
        <f>H349+I349</f>
        <v>2797799.7</v>
      </c>
      <c r="O349" s="37">
        <v>2797799.7</v>
      </c>
      <c r="P349" s="60">
        <v>2797799.7</v>
      </c>
      <c r="Q349" s="37">
        <f>R349+S349+T349+U349+V349</f>
        <v>0</v>
      </c>
      <c r="R349" s="37"/>
      <c r="S349" s="37"/>
      <c r="T349" s="37"/>
      <c r="U349" s="37">
        <v>0</v>
      </c>
      <c r="V349" s="37"/>
      <c r="W349" s="183">
        <v>2984979.8</v>
      </c>
      <c r="X349" s="320"/>
      <c r="Y349" s="320"/>
      <c r="Z349" s="353"/>
      <c r="AA349" s="37"/>
      <c r="AB349" s="37">
        <v>2984979.8</v>
      </c>
    </row>
    <row r="350" spans="1:28" x14ac:dyDescent="0.2">
      <c r="A350" s="12" t="s">
        <v>36</v>
      </c>
      <c r="B350" s="154" t="s">
        <v>131</v>
      </c>
      <c r="C350" s="14" t="s">
        <v>280</v>
      </c>
      <c r="D350" s="187" t="s">
        <v>281</v>
      </c>
      <c r="E350" s="15" t="s">
        <v>283</v>
      </c>
      <c r="F350" s="14" t="s">
        <v>85</v>
      </c>
      <c r="G350" s="14"/>
      <c r="H350" s="37">
        <f t="shared" ref="H350:N350" si="199">SUM(H351:H352)</f>
        <v>212550</v>
      </c>
      <c r="I350" s="37">
        <f t="shared" si="199"/>
        <v>0</v>
      </c>
      <c r="J350" s="37">
        <f t="shared" si="199"/>
        <v>0</v>
      </c>
      <c r="K350" s="38">
        <f t="shared" si="199"/>
        <v>0</v>
      </c>
      <c r="L350" s="38">
        <f t="shared" si="199"/>
        <v>0</v>
      </c>
      <c r="M350" s="38">
        <f t="shared" si="199"/>
        <v>0</v>
      </c>
      <c r="N350" s="38">
        <f t="shared" si="199"/>
        <v>212550</v>
      </c>
      <c r="O350" s="37">
        <f>SUM(O351:O352)</f>
        <v>212040</v>
      </c>
      <c r="P350" s="60">
        <f>SUM(P351:P352)</f>
        <v>244260</v>
      </c>
      <c r="Q350" s="60">
        <f t="shared" ref="Q350:V350" si="200">SUM(Q351:Q352)</f>
        <v>-64616.5</v>
      </c>
      <c r="R350" s="60">
        <f t="shared" si="200"/>
        <v>-64616.5</v>
      </c>
      <c r="S350" s="60">
        <f t="shared" si="200"/>
        <v>0</v>
      </c>
      <c r="T350" s="60">
        <f t="shared" si="200"/>
        <v>0</v>
      </c>
      <c r="U350" s="60">
        <f t="shared" si="200"/>
        <v>0</v>
      </c>
      <c r="V350" s="60">
        <f t="shared" si="200"/>
        <v>0</v>
      </c>
      <c r="W350" s="291">
        <f>SUM(W351:W352)</f>
        <v>495440</v>
      </c>
      <c r="X350" s="320"/>
      <c r="Y350" s="320"/>
      <c r="Z350" s="353"/>
      <c r="AA350" s="60">
        <f>SUM(AA351:AA352)</f>
        <v>0</v>
      </c>
      <c r="AB350" s="60">
        <f t="shared" ref="AB350" si="201">SUM(AB351:AB352)</f>
        <v>495440</v>
      </c>
    </row>
    <row r="351" spans="1:28" ht="25.5" x14ac:dyDescent="0.2">
      <c r="A351" s="44" t="s">
        <v>177</v>
      </c>
      <c r="B351" s="154" t="s">
        <v>131</v>
      </c>
      <c r="C351" s="14" t="s">
        <v>280</v>
      </c>
      <c r="D351" s="187" t="s">
        <v>281</v>
      </c>
      <c r="E351" s="15"/>
      <c r="F351" s="14"/>
      <c r="G351" s="14" t="s">
        <v>38</v>
      </c>
      <c r="H351" s="37">
        <v>2550</v>
      </c>
      <c r="I351" s="37">
        <f>SUM(J351:M351)</f>
        <v>0</v>
      </c>
      <c r="J351" s="37"/>
      <c r="K351" s="38"/>
      <c r="L351" s="38"/>
      <c r="M351" s="38"/>
      <c r="N351" s="39">
        <f>H351+I351</f>
        <v>2550</v>
      </c>
      <c r="O351" s="37">
        <f>2550*80%</f>
        <v>2040</v>
      </c>
      <c r="P351" s="60">
        <v>55440</v>
      </c>
      <c r="Q351" s="37">
        <f>R351+S351+T351+U351+V351</f>
        <v>-50000</v>
      </c>
      <c r="R351" s="37">
        <v>-50000</v>
      </c>
      <c r="S351" s="37"/>
      <c r="T351" s="37"/>
      <c r="U351" s="37"/>
      <c r="V351" s="37"/>
      <c r="W351" s="183">
        <v>5440</v>
      </c>
      <c r="X351" s="320"/>
      <c r="Y351" s="320"/>
      <c r="Z351" s="353"/>
      <c r="AA351" s="37">
        <v>0</v>
      </c>
      <c r="AB351" s="37">
        <v>5440</v>
      </c>
    </row>
    <row r="352" spans="1:28" ht="25.5" x14ac:dyDescent="0.2">
      <c r="A352" s="46" t="s">
        <v>284</v>
      </c>
      <c r="B352" s="154" t="s">
        <v>131</v>
      </c>
      <c r="C352" s="14" t="s">
        <v>280</v>
      </c>
      <c r="D352" s="187" t="s">
        <v>281</v>
      </c>
      <c r="E352" s="15"/>
      <c r="F352" s="14"/>
      <c r="G352" s="14" t="s">
        <v>40</v>
      </c>
      <c r="H352" s="37">
        <v>210000</v>
      </c>
      <c r="I352" s="37">
        <f>SUM(J352:M352)</f>
        <v>0</v>
      </c>
      <c r="J352" s="37">
        <v>0</v>
      </c>
      <c r="K352" s="38"/>
      <c r="L352" s="38"/>
      <c r="M352" s="38"/>
      <c r="N352" s="39">
        <f>H352+I352</f>
        <v>210000</v>
      </c>
      <c r="O352" s="37">
        <v>210000</v>
      </c>
      <c r="P352" s="60">
        <v>188820</v>
      </c>
      <c r="Q352" s="37">
        <f>R352+S352+T352+U352+V352</f>
        <v>-14616.5</v>
      </c>
      <c r="R352" s="37">
        <f>-64616.5+50000</f>
        <v>-14616.5</v>
      </c>
      <c r="S352" s="37"/>
      <c r="T352" s="37"/>
      <c r="U352" s="37"/>
      <c r="V352" s="37"/>
      <c r="W352" s="183">
        <v>490000</v>
      </c>
      <c r="X352" s="320">
        <f>124203.5-W352</f>
        <v>-365796.5</v>
      </c>
      <c r="Y352" s="320"/>
      <c r="Z352" s="353"/>
      <c r="AA352" s="37">
        <v>0</v>
      </c>
      <c r="AB352" s="37">
        <v>490000</v>
      </c>
    </row>
    <row r="353" spans="1:28" x14ac:dyDescent="0.2">
      <c r="A353" s="59" t="s">
        <v>28</v>
      </c>
      <c r="B353" s="154" t="s">
        <v>131</v>
      </c>
      <c r="C353" s="14" t="s">
        <v>280</v>
      </c>
      <c r="D353" s="187" t="s">
        <v>281</v>
      </c>
      <c r="E353" s="15" t="s">
        <v>285</v>
      </c>
      <c r="F353" s="14" t="s">
        <v>30</v>
      </c>
      <c r="G353" s="14"/>
      <c r="H353" s="37">
        <v>844935.51</v>
      </c>
      <c r="I353" s="37">
        <f>SUM(J353:M353)</f>
        <v>0</v>
      </c>
      <c r="J353" s="37">
        <v>0</v>
      </c>
      <c r="K353" s="38">
        <v>0</v>
      </c>
      <c r="L353" s="38">
        <v>0</v>
      </c>
      <c r="M353" s="38">
        <v>0</v>
      </c>
      <c r="N353" s="39">
        <f>H353+I353</f>
        <v>844935.51</v>
      </c>
      <c r="O353" s="37">
        <v>844935.51</v>
      </c>
      <c r="P353" s="60">
        <v>844935.51</v>
      </c>
      <c r="Q353" s="37">
        <f>R353+S353+T353+U353+V353</f>
        <v>0</v>
      </c>
      <c r="R353" s="37"/>
      <c r="S353" s="37"/>
      <c r="T353" s="37"/>
      <c r="U353" s="37">
        <v>0</v>
      </c>
      <c r="V353" s="37"/>
      <c r="W353" s="183">
        <v>901463.9</v>
      </c>
      <c r="X353" s="320"/>
      <c r="Y353" s="320"/>
      <c r="Z353" s="353"/>
      <c r="AA353" s="37"/>
      <c r="AB353" s="37">
        <v>901463.9</v>
      </c>
    </row>
    <row r="354" spans="1:28" x14ac:dyDescent="0.2">
      <c r="A354" s="29" t="s">
        <v>41</v>
      </c>
      <c r="B354" s="154" t="s">
        <v>131</v>
      </c>
      <c r="C354" s="14" t="s">
        <v>280</v>
      </c>
      <c r="D354" s="188" t="s">
        <v>281</v>
      </c>
      <c r="E354" s="32" t="s">
        <v>19</v>
      </c>
      <c r="F354" s="31" t="s">
        <v>42</v>
      </c>
      <c r="G354" s="31"/>
      <c r="H354" s="33">
        <f>H355+H356+H357+H360+H363</f>
        <v>313000</v>
      </c>
      <c r="I354" s="33">
        <f t="shared" ref="I354:N354" si="202">I355+I357+I360+I363</f>
        <v>0</v>
      </c>
      <c r="J354" s="33">
        <f t="shared" si="202"/>
        <v>0</v>
      </c>
      <c r="K354" s="34">
        <f t="shared" si="202"/>
        <v>0</v>
      </c>
      <c r="L354" s="34">
        <f t="shared" si="202"/>
        <v>0</v>
      </c>
      <c r="M354" s="34">
        <f t="shared" si="202"/>
        <v>0</v>
      </c>
      <c r="N354" s="35">
        <f t="shared" si="202"/>
        <v>292365</v>
      </c>
      <c r="O354" s="33">
        <f>O355+O356+O357+O360+O363</f>
        <v>250400</v>
      </c>
      <c r="P354" s="281">
        <f>P355+P356+P357+P360+P363</f>
        <v>215180</v>
      </c>
      <c r="Q354" s="281">
        <f t="shared" ref="Q354:W354" si="203">Q355+Q356+Q357+Q360+Q363</f>
        <v>0</v>
      </c>
      <c r="R354" s="281">
        <f t="shared" si="203"/>
        <v>0</v>
      </c>
      <c r="S354" s="281">
        <f t="shared" si="203"/>
        <v>0</v>
      </c>
      <c r="T354" s="281">
        <f t="shared" si="203"/>
        <v>0</v>
      </c>
      <c r="U354" s="281">
        <f t="shared" si="203"/>
        <v>0</v>
      </c>
      <c r="V354" s="281">
        <f t="shared" si="203"/>
        <v>0</v>
      </c>
      <c r="W354" s="285">
        <f t="shared" si="203"/>
        <v>215180</v>
      </c>
      <c r="X354" s="320"/>
      <c r="Y354" s="320"/>
      <c r="Z354" s="353"/>
      <c r="AA354" s="281">
        <f>AA355+AA356+AA357+AA360+AA363</f>
        <v>0</v>
      </c>
      <c r="AB354" s="281">
        <f t="shared" ref="AB354" si="204">AB355+AB356+AB357+AB360+AB363</f>
        <v>215180</v>
      </c>
    </row>
    <row r="355" spans="1:28" x14ac:dyDescent="0.2">
      <c r="A355" s="12" t="s">
        <v>43</v>
      </c>
      <c r="B355" s="90" t="s">
        <v>131</v>
      </c>
      <c r="C355" s="49" t="s">
        <v>280</v>
      </c>
      <c r="D355" s="187" t="s">
        <v>281</v>
      </c>
      <c r="E355" s="15" t="s">
        <v>44</v>
      </c>
      <c r="F355" s="14" t="s">
        <v>45</v>
      </c>
      <c r="G355" s="14"/>
      <c r="H355" s="37">
        <v>110000</v>
      </c>
      <c r="I355" s="37">
        <f>SUM(J355:M355)</f>
        <v>0</v>
      </c>
      <c r="J355" s="37"/>
      <c r="K355" s="38"/>
      <c r="L355" s="38"/>
      <c r="M355" s="38"/>
      <c r="N355" s="39">
        <v>93365</v>
      </c>
      <c r="O355" s="37">
        <f>110000*80%</f>
        <v>88000</v>
      </c>
      <c r="P355" s="291">
        <v>127000</v>
      </c>
      <c r="Q355" s="37">
        <f>R355+S355+T355+U355+V355</f>
        <v>0</v>
      </c>
      <c r="R355" s="37"/>
      <c r="S355" s="37"/>
      <c r="T355" s="37"/>
      <c r="U355" s="37"/>
      <c r="V355" s="37"/>
      <c r="W355" s="183">
        <f>127000</f>
        <v>127000</v>
      </c>
      <c r="X355" s="320"/>
      <c r="Y355" s="320"/>
      <c r="Z355" s="353"/>
      <c r="AA355" s="37">
        <v>0</v>
      </c>
      <c r="AB355" s="37">
        <f>127000</f>
        <v>127000</v>
      </c>
    </row>
    <row r="356" spans="1:28" x14ac:dyDescent="0.2">
      <c r="A356" s="12" t="s">
        <v>43</v>
      </c>
      <c r="B356" s="154" t="s">
        <v>131</v>
      </c>
      <c r="C356" s="14" t="s">
        <v>280</v>
      </c>
      <c r="D356" s="187" t="s">
        <v>281</v>
      </c>
      <c r="E356" s="15" t="s">
        <v>46</v>
      </c>
      <c r="F356" s="14" t="s">
        <v>45</v>
      </c>
      <c r="G356" s="14"/>
      <c r="H356" s="37">
        <v>4000</v>
      </c>
      <c r="I356" s="37"/>
      <c r="J356" s="37"/>
      <c r="K356" s="38"/>
      <c r="L356" s="38"/>
      <c r="M356" s="38"/>
      <c r="N356" s="63"/>
      <c r="O356" s="37">
        <f>4000*80%</f>
        <v>3200</v>
      </c>
      <c r="P356" s="60">
        <v>6200</v>
      </c>
      <c r="Q356" s="37">
        <f>R356+S356+T356+U356+V356</f>
        <v>0</v>
      </c>
      <c r="R356" s="37"/>
      <c r="S356" s="37"/>
      <c r="T356" s="37"/>
      <c r="U356" s="37"/>
      <c r="V356" s="37"/>
      <c r="W356" s="183">
        <v>6200</v>
      </c>
      <c r="X356" s="320"/>
      <c r="Y356" s="320"/>
      <c r="Z356" s="353"/>
      <c r="AA356" s="37">
        <v>0</v>
      </c>
      <c r="AB356" s="37">
        <v>6200</v>
      </c>
    </row>
    <row r="357" spans="1:28" hidden="1" x14ac:dyDescent="0.2">
      <c r="A357" s="12" t="s">
        <v>47</v>
      </c>
      <c r="B357" s="189" t="s">
        <v>131</v>
      </c>
      <c r="C357" s="14" t="s">
        <v>280</v>
      </c>
      <c r="D357" s="187" t="s">
        <v>281</v>
      </c>
      <c r="E357" s="15" t="s">
        <v>283</v>
      </c>
      <c r="F357" s="14" t="s">
        <v>48</v>
      </c>
      <c r="G357" s="14"/>
      <c r="H357" s="37">
        <f>SUM(H358:H359)</f>
        <v>80000</v>
      </c>
      <c r="I357" s="37">
        <f t="shared" ref="I357:N357" si="205">SUM(I358:I359)</f>
        <v>-5600</v>
      </c>
      <c r="J357" s="37">
        <f t="shared" si="205"/>
        <v>-5600</v>
      </c>
      <c r="K357" s="38">
        <f t="shared" si="205"/>
        <v>0</v>
      </c>
      <c r="L357" s="38">
        <f t="shared" si="205"/>
        <v>0</v>
      </c>
      <c r="M357" s="38">
        <f t="shared" si="205"/>
        <v>0</v>
      </c>
      <c r="N357" s="38">
        <f t="shared" si="205"/>
        <v>74400</v>
      </c>
      <c r="O357" s="37">
        <f>SUM(O358:O359)</f>
        <v>64000</v>
      </c>
      <c r="P357" s="60">
        <f>SUM(P358:P359)</f>
        <v>0</v>
      </c>
      <c r="Q357" s="37"/>
      <c r="R357" s="37"/>
      <c r="S357" s="37"/>
      <c r="T357" s="37"/>
      <c r="U357" s="37"/>
      <c r="V357" s="37"/>
      <c r="W357" s="183"/>
      <c r="X357" s="320"/>
      <c r="Y357" s="320"/>
      <c r="Z357" s="353"/>
      <c r="AA357" s="37"/>
      <c r="AB357" s="37"/>
    </row>
    <row r="358" spans="1:28" ht="25.5" hidden="1" x14ac:dyDescent="0.2">
      <c r="A358" s="44" t="s">
        <v>286</v>
      </c>
      <c r="B358" s="189"/>
      <c r="C358" s="14"/>
      <c r="D358" s="14"/>
      <c r="E358" s="15"/>
      <c r="F358" s="14"/>
      <c r="G358" s="14" t="s">
        <v>38</v>
      </c>
      <c r="H358" s="37">
        <v>80000</v>
      </c>
      <c r="I358" s="37">
        <f>SUM(J358:M358)</f>
        <v>-5600</v>
      </c>
      <c r="J358" s="37">
        <v>-5600</v>
      </c>
      <c r="K358" s="38"/>
      <c r="L358" s="38"/>
      <c r="M358" s="38"/>
      <c r="N358" s="39">
        <f>H358+I358</f>
        <v>74400</v>
      </c>
      <c r="O358" s="37">
        <f>80000*80%</f>
        <v>64000</v>
      </c>
      <c r="P358" s="60">
        <v>0</v>
      </c>
      <c r="Q358" s="37"/>
      <c r="R358" s="37"/>
      <c r="S358" s="37"/>
      <c r="T358" s="37"/>
      <c r="U358" s="37"/>
      <c r="V358" s="37"/>
      <c r="W358" s="183"/>
      <c r="X358" s="320"/>
      <c r="Y358" s="320"/>
      <c r="Z358" s="353"/>
      <c r="AA358" s="37"/>
      <c r="AB358" s="37"/>
    </row>
    <row r="359" spans="1:28" ht="38.25" hidden="1" x14ac:dyDescent="0.2">
      <c r="A359" s="12" t="s">
        <v>132</v>
      </c>
      <c r="B359" s="189"/>
      <c r="C359" s="14"/>
      <c r="D359" s="14"/>
      <c r="E359" s="15"/>
      <c r="F359" s="14"/>
      <c r="G359" s="14" t="s">
        <v>287</v>
      </c>
      <c r="H359" s="37">
        <v>0</v>
      </c>
      <c r="I359" s="37">
        <f>SUM(J359:M359)</f>
        <v>0</v>
      </c>
      <c r="J359" s="37"/>
      <c r="K359" s="38"/>
      <c r="L359" s="38"/>
      <c r="M359" s="38"/>
      <c r="N359" s="39">
        <f>H359+I359</f>
        <v>0</v>
      </c>
      <c r="O359" s="37">
        <v>0</v>
      </c>
      <c r="P359" s="60">
        <v>0</v>
      </c>
      <c r="Q359" s="37"/>
      <c r="R359" s="37"/>
      <c r="S359" s="37"/>
      <c r="T359" s="37"/>
      <c r="U359" s="37"/>
      <c r="V359" s="37"/>
      <c r="W359" s="183"/>
      <c r="X359" s="320"/>
      <c r="Y359" s="320"/>
      <c r="Z359" s="353"/>
      <c r="AA359" s="37"/>
      <c r="AB359" s="37"/>
    </row>
    <row r="360" spans="1:28" x14ac:dyDescent="0.2">
      <c r="A360" s="12" t="s">
        <v>50</v>
      </c>
      <c r="B360" s="189" t="s">
        <v>131</v>
      </c>
      <c r="C360" s="14" t="s">
        <v>280</v>
      </c>
      <c r="D360" s="187" t="s">
        <v>281</v>
      </c>
      <c r="E360" s="15" t="s">
        <v>19</v>
      </c>
      <c r="F360" s="14" t="s">
        <v>51</v>
      </c>
      <c r="G360" s="14"/>
      <c r="H360" s="37">
        <f t="shared" ref="H360:N360" si="206">H361+H362</f>
        <v>20000</v>
      </c>
      <c r="I360" s="37">
        <f t="shared" si="206"/>
        <v>0</v>
      </c>
      <c r="J360" s="37">
        <f t="shared" si="206"/>
        <v>0</v>
      </c>
      <c r="K360" s="38">
        <f t="shared" si="206"/>
        <v>0</v>
      </c>
      <c r="L360" s="38">
        <f t="shared" si="206"/>
        <v>0</v>
      </c>
      <c r="M360" s="38">
        <f t="shared" si="206"/>
        <v>0</v>
      </c>
      <c r="N360" s="39">
        <f t="shared" si="206"/>
        <v>20000</v>
      </c>
      <c r="O360" s="37">
        <f>O361+O362</f>
        <v>16000</v>
      </c>
      <c r="P360" s="60">
        <v>15900</v>
      </c>
      <c r="Q360" s="60">
        <f t="shared" ref="Q360:W360" si="207">Q361+Q362</f>
        <v>0</v>
      </c>
      <c r="R360" s="60">
        <f t="shared" si="207"/>
        <v>0</v>
      </c>
      <c r="S360" s="60">
        <f t="shared" si="207"/>
        <v>0</v>
      </c>
      <c r="T360" s="60">
        <f t="shared" si="207"/>
        <v>0</v>
      </c>
      <c r="U360" s="60">
        <f t="shared" si="207"/>
        <v>0</v>
      </c>
      <c r="V360" s="60">
        <f t="shared" si="207"/>
        <v>0</v>
      </c>
      <c r="W360" s="291">
        <f t="shared" si="207"/>
        <v>15900</v>
      </c>
      <c r="X360" s="320"/>
      <c r="Y360" s="320"/>
      <c r="Z360" s="353"/>
      <c r="AA360" s="60">
        <f>AA361+AA362</f>
        <v>0</v>
      </c>
      <c r="AB360" s="60">
        <f t="shared" ref="AB360" si="208">AB361+AB362</f>
        <v>15900</v>
      </c>
    </row>
    <row r="361" spans="1:28" hidden="1" x14ac:dyDescent="0.2">
      <c r="A361" s="46" t="s">
        <v>52</v>
      </c>
      <c r="B361" s="154"/>
      <c r="C361" s="14"/>
      <c r="D361" s="14"/>
      <c r="E361" s="15"/>
      <c r="F361" s="14"/>
      <c r="G361" s="14" t="s">
        <v>53</v>
      </c>
      <c r="H361" s="37">
        <v>0</v>
      </c>
      <c r="I361" s="37">
        <f>SUM(J361:M361)</f>
        <v>0</v>
      </c>
      <c r="J361" s="37"/>
      <c r="K361" s="38"/>
      <c r="L361" s="38"/>
      <c r="M361" s="38"/>
      <c r="N361" s="39">
        <f>H361+I361</f>
        <v>0</v>
      </c>
      <c r="O361" s="37">
        <v>0</v>
      </c>
      <c r="P361" s="60">
        <v>0</v>
      </c>
      <c r="Q361" s="37"/>
      <c r="R361" s="37"/>
      <c r="S361" s="37"/>
      <c r="T361" s="37"/>
      <c r="U361" s="37"/>
      <c r="V361" s="37"/>
      <c r="W361" s="183"/>
      <c r="X361" s="320"/>
      <c r="Y361" s="320"/>
      <c r="Z361" s="353"/>
      <c r="AA361" s="37"/>
      <c r="AB361" s="37"/>
    </row>
    <row r="362" spans="1:28" x14ac:dyDescent="0.2">
      <c r="A362" s="46" t="s">
        <v>288</v>
      </c>
      <c r="B362" s="154"/>
      <c r="C362" s="14"/>
      <c r="D362" s="14"/>
      <c r="E362" s="15" t="s">
        <v>44</v>
      </c>
      <c r="F362" s="14"/>
      <c r="G362" s="14" t="s">
        <v>101</v>
      </c>
      <c r="H362" s="37">
        <v>20000</v>
      </c>
      <c r="I362" s="37">
        <f>SUM(J362:M362)</f>
        <v>0</v>
      </c>
      <c r="J362" s="37">
        <v>0</v>
      </c>
      <c r="K362" s="38"/>
      <c r="L362" s="38"/>
      <c r="M362" s="38">
        <v>0</v>
      </c>
      <c r="N362" s="39">
        <f>H362+I362</f>
        <v>20000</v>
      </c>
      <c r="O362" s="37">
        <f>20000*80%</f>
        <v>16000</v>
      </c>
      <c r="P362" s="60">
        <v>15900</v>
      </c>
      <c r="Q362" s="37">
        <f>R362+S362+T362+U362+V362</f>
        <v>0</v>
      </c>
      <c r="R362" s="37"/>
      <c r="S362" s="37"/>
      <c r="T362" s="37"/>
      <c r="U362" s="37"/>
      <c r="V362" s="37"/>
      <c r="W362" s="183">
        <v>15900</v>
      </c>
      <c r="X362" s="320"/>
      <c r="Y362" s="320"/>
      <c r="Z362" s="353"/>
      <c r="AA362" s="37">
        <v>0</v>
      </c>
      <c r="AB362" s="37">
        <v>15900</v>
      </c>
    </row>
    <row r="363" spans="1:28" s="58" customFormat="1" x14ac:dyDescent="0.2">
      <c r="A363" s="54" t="s">
        <v>57</v>
      </c>
      <c r="B363" s="190" t="s">
        <v>131</v>
      </c>
      <c r="C363" s="49" t="s">
        <v>280</v>
      </c>
      <c r="D363" s="188" t="s">
        <v>281</v>
      </c>
      <c r="E363" s="50" t="s">
        <v>19</v>
      </c>
      <c r="F363" s="49" t="s">
        <v>58</v>
      </c>
      <c r="G363" s="49"/>
      <c r="H363" s="51">
        <f t="shared" ref="H363:N363" si="209">SUM(H364:H368)</f>
        <v>99000</v>
      </c>
      <c r="I363" s="51">
        <f t="shared" si="209"/>
        <v>5600</v>
      </c>
      <c r="J363" s="51">
        <f t="shared" si="209"/>
        <v>5600</v>
      </c>
      <c r="K363" s="52">
        <f t="shared" si="209"/>
        <v>0</v>
      </c>
      <c r="L363" s="52">
        <f t="shared" si="209"/>
        <v>0</v>
      </c>
      <c r="M363" s="52">
        <f t="shared" si="209"/>
        <v>0</v>
      </c>
      <c r="N363" s="52">
        <f t="shared" si="209"/>
        <v>104600</v>
      </c>
      <c r="O363" s="51">
        <f>SUM(O364:O368)</f>
        <v>79200</v>
      </c>
      <c r="P363" s="282">
        <f>SUM(P364:P369)</f>
        <v>66080</v>
      </c>
      <c r="Q363" s="282">
        <f t="shared" ref="Q363:W363" si="210">SUM(Q364:Q369)</f>
        <v>0</v>
      </c>
      <c r="R363" s="282">
        <f t="shared" si="210"/>
        <v>0</v>
      </c>
      <c r="S363" s="282">
        <f t="shared" si="210"/>
        <v>0</v>
      </c>
      <c r="T363" s="282">
        <f t="shared" si="210"/>
        <v>0</v>
      </c>
      <c r="U363" s="282">
        <f t="shared" si="210"/>
        <v>0</v>
      </c>
      <c r="V363" s="282">
        <f t="shared" si="210"/>
        <v>0</v>
      </c>
      <c r="W363" s="397">
        <f t="shared" si="210"/>
        <v>66080</v>
      </c>
      <c r="X363" s="321"/>
      <c r="Y363" s="321"/>
      <c r="Z363" s="356"/>
      <c r="AA363" s="282">
        <f>SUM(AA364:AA369)</f>
        <v>0</v>
      </c>
      <c r="AB363" s="282">
        <f t="shared" ref="AB363" si="211">SUM(AB364:AB369)</f>
        <v>66080</v>
      </c>
    </row>
    <row r="364" spans="1:28" ht="38.25" hidden="1" x14ac:dyDescent="0.2">
      <c r="A364" s="44" t="s">
        <v>178</v>
      </c>
      <c r="B364" s="189"/>
      <c r="C364" s="14"/>
      <c r="D364" s="14"/>
      <c r="E364" s="15" t="s">
        <v>283</v>
      </c>
      <c r="F364" s="14"/>
      <c r="G364" s="14" t="s">
        <v>38</v>
      </c>
      <c r="H364" s="37">
        <v>35000</v>
      </c>
      <c r="I364" s="37">
        <f>SUM(J364:M364)</f>
        <v>0</v>
      </c>
      <c r="J364" s="37"/>
      <c r="K364" s="38"/>
      <c r="L364" s="38"/>
      <c r="M364" s="38"/>
      <c r="N364" s="39">
        <f>H364+I364</f>
        <v>35000</v>
      </c>
      <c r="O364" s="37">
        <f>35000*80%</f>
        <v>28000</v>
      </c>
      <c r="P364" s="60">
        <v>0</v>
      </c>
      <c r="Q364" s="37"/>
      <c r="R364" s="37"/>
      <c r="S364" s="37"/>
      <c r="T364" s="37"/>
      <c r="U364" s="37"/>
      <c r="V364" s="37"/>
      <c r="W364" s="183"/>
      <c r="X364" s="320"/>
      <c r="Y364" s="320"/>
      <c r="Z364" s="353"/>
      <c r="AA364" s="37"/>
      <c r="AB364" s="37"/>
    </row>
    <row r="365" spans="1:28" ht="25.5" x14ac:dyDescent="0.2">
      <c r="A365" s="44" t="s">
        <v>107</v>
      </c>
      <c r="B365" s="189"/>
      <c r="C365" s="14"/>
      <c r="D365" s="14"/>
      <c r="E365" s="15" t="s">
        <v>44</v>
      </c>
      <c r="F365" s="14"/>
      <c r="G365" s="14" t="s">
        <v>60</v>
      </c>
      <c r="H365" s="37">
        <v>30000</v>
      </c>
      <c r="I365" s="37">
        <f>SUM(J365:M365)</f>
        <v>5600</v>
      </c>
      <c r="J365" s="37">
        <v>5600</v>
      </c>
      <c r="K365" s="38"/>
      <c r="L365" s="38"/>
      <c r="M365" s="38"/>
      <c r="N365" s="39">
        <f>H365+I365</f>
        <v>35600</v>
      </c>
      <c r="O365" s="37">
        <f>30000*80%</f>
        <v>24000</v>
      </c>
      <c r="P365" s="60">
        <v>66080</v>
      </c>
      <c r="Q365" s="37">
        <f>R365+S365+T365+U365+V365</f>
        <v>0</v>
      </c>
      <c r="R365" s="37"/>
      <c r="S365" s="37"/>
      <c r="T365" s="37"/>
      <c r="U365" s="37">
        <v>0</v>
      </c>
      <c r="V365" s="37"/>
      <c r="W365" s="183">
        <v>66080</v>
      </c>
      <c r="X365" s="320"/>
      <c r="Y365" s="320"/>
      <c r="Z365" s="353"/>
      <c r="AA365" s="37">
        <v>0</v>
      </c>
      <c r="AB365" s="37">
        <v>66080</v>
      </c>
    </row>
    <row r="366" spans="1:28" ht="25.5" hidden="1" x14ac:dyDescent="0.2">
      <c r="A366" s="44" t="s">
        <v>61</v>
      </c>
      <c r="B366" s="189"/>
      <c r="C366" s="14"/>
      <c r="D366" s="14"/>
      <c r="E366" s="15" t="s">
        <v>46</v>
      </c>
      <c r="F366" s="14"/>
      <c r="G366" s="14" t="s">
        <v>62</v>
      </c>
      <c r="H366" s="37">
        <v>0</v>
      </c>
      <c r="I366" s="37">
        <f>SUM(J366:M366)</f>
        <v>0</v>
      </c>
      <c r="J366" s="37"/>
      <c r="K366" s="38"/>
      <c r="L366" s="38"/>
      <c r="M366" s="38"/>
      <c r="N366" s="39">
        <f>H366+I366</f>
        <v>0</v>
      </c>
      <c r="O366" s="37">
        <v>0</v>
      </c>
      <c r="P366" s="60">
        <v>0</v>
      </c>
      <c r="Q366" s="37">
        <f>R366+S366+T366+U366</f>
        <v>0</v>
      </c>
      <c r="R366" s="37"/>
      <c r="S366" s="37"/>
      <c r="T366" s="37"/>
      <c r="U366" s="37"/>
      <c r="V366" s="37"/>
      <c r="W366" s="183">
        <f>P366+Q366</f>
        <v>0</v>
      </c>
      <c r="X366" s="320"/>
      <c r="Y366" s="320"/>
      <c r="Z366" s="353"/>
      <c r="AA366" s="37"/>
      <c r="AB366" s="37">
        <f>U366+V366</f>
        <v>0</v>
      </c>
    </row>
    <row r="367" spans="1:28" ht="25.5" hidden="1" x14ac:dyDescent="0.2">
      <c r="A367" s="44" t="s">
        <v>108</v>
      </c>
      <c r="B367" s="45"/>
      <c r="C367" s="14"/>
      <c r="D367" s="14"/>
      <c r="E367" s="15" t="s">
        <v>46</v>
      </c>
      <c r="F367" s="14"/>
      <c r="G367" s="14" t="s">
        <v>109</v>
      </c>
      <c r="H367" s="37">
        <v>34000</v>
      </c>
      <c r="I367" s="37">
        <f>SUM(J367:M367)</f>
        <v>0</v>
      </c>
      <c r="J367" s="37">
        <v>0</v>
      </c>
      <c r="K367" s="38">
        <v>0</v>
      </c>
      <c r="L367" s="38">
        <v>0</v>
      </c>
      <c r="M367" s="38">
        <v>0</v>
      </c>
      <c r="N367" s="39">
        <f>H367+I367</f>
        <v>34000</v>
      </c>
      <c r="O367" s="37">
        <f>34000*80%</f>
        <v>27200</v>
      </c>
      <c r="P367" s="60">
        <v>0</v>
      </c>
      <c r="Q367" s="37">
        <f>R367+S367+T367+U367</f>
        <v>0</v>
      </c>
      <c r="R367" s="37"/>
      <c r="S367" s="37"/>
      <c r="T367" s="37"/>
      <c r="U367" s="37"/>
      <c r="V367" s="37"/>
      <c r="W367" s="183">
        <f>P367+Q367</f>
        <v>0</v>
      </c>
      <c r="X367" s="320"/>
      <c r="Y367" s="320"/>
      <c r="Z367" s="353"/>
      <c r="AA367" s="37"/>
      <c r="AB367" s="37">
        <f>U367+V367</f>
        <v>0</v>
      </c>
    </row>
    <row r="368" spans="1:28" hidden="1" x14ac:dyDescent="0.2">
      <c r="A368" s="44" t="s">
        <v>289</v>
      </c>
      <c r="B368" s="189"/>
      <c r="C368" s="14"/>
      <c r="D368" s="14"/>
      <c r="E368" s="15" t="s">
        <v>46</v>
      </c>
      <c r="F368" s="14"/>
      <c r="G368" s="14" t="s">
        <v>64</v>
      </c>
      <c r="H368" s="37">
        <v>0</v>
      </c>
      <c r="I368" s="37">
        <f>SUM(J368:M368)</f>
        <v>0</v>
      </c>
      <c r="J368" s="37"/>
      <c r="K368" s="38"/>
      <c r="L368" s="38"/>
      <c r="M368" s="38"/>
      <c r="N368" s="39">
        <f>H368+I368</f>
        <v>0</v>
      </c>
      <c r="O368" s="37">
        <v>0</v>
      </c>
      <c r="P368" s="60">
        <v>0</v>
      </c>
      <c r="Q368" s="37">
        <f>R368+S368+T368+U368</f>
        <v>0</v>
      </c>
      <c r="R368" s="37"/>
      <c r="S368" s="37"/>
      <c r="T368" s="37"/>
      <c r="U368" s="37"/>
      <c r="V368" s="37"/>
      <c r="W368" s="183">
        <f>P368+Q368</f>
        <v>0</v>
      </c>
      <c r="X368" s="320"/>
      <c r="Y368" s="320"/>
      <c r="Z368" s="353"/>
      <c r="AA368" s="37"/>
      <c r="AB368" s="37">
        <f>U368+V368</f>
        <v>0</v>
      </c>
    </row>
    <row r="369" spans="1:28" hidden="1" x14ac:dyDescent="0.2">
      <c r="A369" s="44" t="s">
        <v>148</v>
      </c>
      <c r="B369" s="189"/>
      <c r="C369" s="14"/>
      <c r="D369" s="14"/>
      <c r="E369" s="15" t="s">
        <v>46</v>
      </c>
      <c r="F369" s="14"/>
      <c r="G369" s="14" t="s">
        <v>64</v>
      </c>
      <c r="H369" s="37"/>
      <c r="I369" s="37"/>
      <c r="J369" s="37"/>
      <c r="K369" s="38"/>
      <c r="L369" s="38"/>
      <c r="M369" s="38"/>
      <c r="N369" s="63"/>
      <c r="O369" s="37"/>
      <c r="P369" s="60">
        <v>0</v>
      </c>
      <c r="Q369" s="37">
        <f>R369+S369+T369+U369</f>
        <v>0</v>
      </c>
      <c r="R369" s="37">
        <v>0</v>
      </c>
      <c r="S369" s="37"/>
      <c r="T369" s="37"/>
      <c r="U369" s="37"/>
      <c r="V369" s="37"/>
      <c r="W369" s="183">
        <f>P369+Q369</f>
        <v>0</v>
      </c>
      <c r="X369" s="320"/>
      <c r="Y369" s="320"/>
      <c r="Z369" s="353"/>
      <c r="AA369" s="37">
        <v>0</v>
      </c>
      <c r="AB369" s="37">
        <f>U369+V369</f>
        <v>0</v>
      </c>
    </row>
    <row r="370" spans="1:28" x14ac:dyDescent="0.2">
      <c r="A370" s="29" t="s">
        <v>65</v>
      </c>
      <c r="B370" s="191" t="s">
        <v>131</v>
      </c>
      <c r="C370" s="31" t="s">
        <v>280</v>
      </c>
      <c r="D370" s="188" t="s">
        <v>281</v>
      </c>
      <c r="E370" s="32" t="s">
        <v>19</v>
      </c>
      <c r="F370" s="31" t="s">
        <v>66</v>
      </c>
      <c r="G370" s="31"/>
      <c r="H370" s="37">
        <f t="shared" ref="H370:N370" si="212">SUM(H371:H373)</f>
        <v>2500</v>
      </c>
      <c r="I370" s="37">
        <f t="shared" si="212"/>
        <v>0</v>
      </c>
      <c r="J370" s="37">
        <f t="shared" si="212"/>
        <v>0</v>
      </c>
      <c r="K370" s="38">
        <f t="shared" si="212"/>
        <v>0</v>
      </c>
      <c r="L370" s="38">
        <f t="shared" si="212"/>
        <v>0</v>
      </c>
      <c r="M370" s="38">
        <f t="shared" si="212"/>
        <v>0</v>
      </c>
      <c r="N370" s="38">
        <f t="shared" si="212"/>
        <v>2500</v>
      </c>
      <c r="O370" s="37">
        <f>SUM(O371:O373)</f>
        <v>2500</v>
      </c>
      <c r="P370" s="282">
        <f>SUM(P371:P373)</f>
        <v>2498.3000000000002</v>
      </c>
      <c r="Q370" s="282">
        <f t="shared" ref="Q370:V370" si="213">SUM(Q371:Q373)</f>
        <v>0</v>
      </c>
      <c r="R370" s="282">
        <f t="shared" si="213"/>
        <v>0</v>
      </c>
      <c r="S370" s="282">
        <f t="shared" si="213"/>
        <v>0</v>
      </c>
      <c r="T370" s="282">
        <f t="shared" si="213"/>
        <v>0</v>
      </c>
      <c r="U370" s="282">
        <f t="shared" si="213"/>
        <v>0</v>
      </c>
      <c r="V370" s="282">
        <f t="shared" si="213"/>
        <v>0</v>
      </c>
      <c r="W370" s="397">
        <f>SUM(W371:W373)</f>
        <v>2498.3000000000002</v>
      </c>
      <c r="X370" s="320"/>
      <c r="Y370" s="320"/>
      <c r="Z370" s="353"/>
      <c r="AA370" s="282">
        <f>SUM(AA371:AA373)</f>
        <v>0</v>
      </c>
      <c r="AB370" s="282">
        <f t="shared" ref="AB370" si="214">SUM(AB371:AB373)</f>
        <v>2498.3000000000002</v>
      </c>
    </row>
    <row r="371" spans="1:28" s="80" customFormat="1" x14ac:dyDescent="0.2">
      <c r="A371" s="95" t="s">
        <v>290</v>
      </c>
      <c r="B371" s="180"/>
      <c r="C371" s="36"/>
      <c r="D371" s="36"/>
      <c r="E371" s="77" t="s">
        <v>118</v>
      </c>
      <c r="F371" s="36" t="s">
        <v>497</v>
      </c>
      <c r="G371" s="36" t="s">
        <v>119</v>
      </c>
      <c r="H371" s="78">
        <v>2500</v>
      </c>
      <c r="I371" s="37">
        <f>SUM(J371:M371)</f>
        <v>0</v>
      </c>
      <c r="J371" s="78">
        <v>0</v>
      </c>
      <c r="K371" s="79">
        <v>0</v>
      </c>
      <c r="L371" s="79">
        <v>0</v>
      </c>
      <c r="M371" s="79">
        <v>0</v>
      </c>
      <c r="N371" s="39">
        <f>H371+I371</f>
        <v>2500</v>
      </c>
      <c r="O371" s="78">
        <v>2500</v>
      </c>
      <c r="P371" s="74">
        <v>1498.3</v>
      </c>
      <c r="Q371" s="78">
        <f>R371+S371+T371+U371+V371</f>
        <v>0</v>
      </c>
      <c r="R371" s="78"/>
      <c r="S371" s="78"/>
      <c r="T371" s="78"/>
      <c r="U371" s="78"/>
      <c r="V371" s="78"/>
      <c r="W371" s="183">
        <v>1498.3</v>
      </c>
      <c r="X371" s="322"/>
      <c r="Y371" s="322"/>
      <c r="Z371" s="357"/>
      <c r="AA371" s="78">
        <v>0</v>
      </c>
      <c r="AB371" s="37">
        <v>1498.3</v>
      </c>
    </row>
    <row r="372" spans="1:28" ht="25.5" hidden="1" x14ac:dyDescent="0.2">
      <c r="A372" s="12" t="s">
        <v>123</v>
      </c>
      <c r="B372" s="13"/>
      <c r="C372" s="14"/>
      <c r="D372" s="14"/>
      <c r="E372" s="15" t="s">
        <v>46</v>
      </c>
      <c r="F372" s="14"/>
      <c r="G372" s="14" t="s">
        <v>122</v>
      </c>
      <c r="H372" s="37">
        <v>0</v>
      </c>
      <c r="I372" s="37">
        <f>SUM(J372:M372)</f>
        <v>0</v>
      </c>
      <c r="J372" s="37">
        <v>0</v>
      </c>
      <c r="K372" s="38">
        <v>0</v>
      </c>
      <c r="L372" s="38">
        <v>0</v>
      </c>
      <c r="M372" s="38">
        <v>0</v>
      </c>
      <c r="N372" s="39">
        <f>H372+I372</f>
        <v>0</v>
      </c>
      <c r="O372" s="37">
        <v>0</v>
      </c>
      <c r="P372" s="60">
        <v>0</v>
      </c>
      <c r="Q372" s="78">
        <f>R372+S372+T372+U372+V372</f>
        <v>0</v>
      </c>
      <c r="R372" s="37"/>
      <c r="S372" s="78"/>
      <c r="T372" s="78"/>
      <c r="U372" s="78"/>
      <c r="V372" s="78"/>
      <c r="W372" s="183"/>
      <c r="X372" s="320"/>
      <c r="Y372" s="320"/>
      <c r="Z372" s="353"/>
      <c r="AA372" s="37"/>
      <c r="AB372" s="37"/>
    </row>
    <row r="373" spans="1:28" ht="25.5" x14ac:dyDescent="0.2">
      <c r="A373" s="12" t="s">
        <v>123</v>
      </c>
      <c r="B373" s="13"/>
      <c r="C373" s="14"/>
      <c r="D373" s="14"/>
      <c r="E373" s="15" t="s">
        <v>124</v>
      </c>
      <c r="F373" s="14" t="s">
        <v>498</v>
      </c>
      <c r="G373" s="14" t="s">
        <v>122</v>
      </c>
      <c r="H373" s="37">
        <v>0</v>
      </c>
      <c r="I373" s="37">
        <f>SUM(J373:M373)</f>
        <v>0</v>
      </c>
      <c r="J373" s="37">
        <v>0</v>
      </c>
      <c r="K373" s="38">
        <v>0</v>
      </c>
      <c r="L373" s="38">
        <v>0</v>
      </c>
      <c r="M373" s="38">
        <v>0</v>
      </c>
      <c r="N373" s="39">
        <f>H373+I373</f>
        <v>0</v>
      </c>
      <c r="O373" s="37">
        <v>0</v>
      </c>
      <c r="P373" s="60">
        <v>1000</v>
      </c>
      <c r="Q373" s="78">
        <f>R373+S373+T373+U373+V373</f>
        <v>0</v>
      </c>
      <c r="R373" s="37"/>
      <c r="S373" s="78"/>
      <c r="T373" s="78"/>
      <c r="U373" s="78"/>
      <c r="V373" s="78"/>
      <c r="W373" s="183">
        <v>1000</v>
      </c>
      <c r="X373" s="320"/>
      <c r="Y373" s="320"/>
      <c r="Z373" s="353"/>
      <c r="AA373" s="37">
        <v>0</v>
      </c>
      <c r="AB373" s="37">
        <v>1000</v>
      </c>
    </row>
    <row r="374" spans="1:28" x14ac:dyDescent="0.2">
      <c r="A374" s="29" t="s">
        <v>70</v>
      </c>
      <c r="B374" s="191" t="s">
        <v>131</v>
      </c>
      <c r="C374" s="31" t="s">
        <v>280</v>
      </c>
      <c r="D374" s="188" t="s">
        <v>281</v>
      </c>
      <c r="E374" s="50" t="s">
        <v>46</v>
      </c>
      <c r="F374" s="49" t="s">
        <v>71</v>
      </c>
      <c r="G374" s="49"/>
      <c r="H374" s="51">
        <f t="shared" ref="H374:N374" si="215">H375+H378</f>
        <v>60000</v>
      </c>
      <c r="I374" s="51">
        <f t="shared" si="215"/>
        <v>0</v>
      </c>
      <c r="J374" s="51">
        <f t="shared" si="215"/>
        <v>0</v>
      </c>
      <c r="K374" s="52">
        <f t="shared" si="215"/>
        <v>0</v>
      </c>
      <c r="L374" s="52">
        <f t="shared" si="215"/>
        <v>0</v>
      </c>
      <c r="M374" s="52">
        <f t="shared" si="215"/>
        <v>0</v>
      </c>
      <c r="N374" s="53">
        <f t="shared" si="215"/>
        <v>60000</v>
      </c>
      <c r="O374" s="51">
        <f>O375+O378</f>
        <v>48000</v>
      </c>
      <c r="P374" s="282">
        <f>P375+P378</f>
        <v>48000</v>
      </c>
      <c r="Q374" s="282">
        <f t="shared" ref="Q374:W374" si="216">Q375+Q378</f>
        <v>0</v>
      </c>
      <c r="R374" s="282">
        <f t="shared" si="216"/>
        <v>0</v>
      </c>
      <c r="S374" s="282">
        <f t="shared" si="216"/>
        <v>0</v>
      </c>
      <c r="T374" s="282">
        <f t="shared" si="216"/>
        <v>0</v>
      </c>
      <c r="U374" s="282">
        <f t="shared" si="216"/>
        <v>0</v>
      </c>
      <c r="V374" s="282">
        <f t="shared" si="216"/>
        <v>0</v>
      </c>
      <c r="W374" s="397">
        <f t="shared" si="216"/>
        <v>48000</v>
      </c>
      <c r="X374" s="320"/>
      <c r="Y374" s="320"/>
      <c r="Z374" s="353"/>
      <c r="AA374" s="282">
        <f>AA375+AA378</f>
        <v>0</v>
      </c>
      <c r="AB374" s="282">
        <f t="shared" ref="AB374" si="217">AB375+AB378</f>
        <v>48000</v>
      </c>
    </row>
    <row r="375" spans="1:28" hidden="1" x14ac:dyDescent="0.2">
      <c r="A375" s="12" t="s">
        <v>72</v>
      </c>
      <c r="B375" s="189" t="s">
        <v>131</v>
      </c>
      <c r="C375" s="14" t="s">
        <v>280</v>
      </c>
      <c r="D375" s="187" t="s">
        <v>281</v>
      </c>
      <c r="E375" s="15" t="s">
        <v>19</v>
      </c>
      <c r="F375" s="14" t="s">
        <v>73</v>
      </c>
      <c r="G375" s="14"/>
      <c r="H375" s="37">
        <f>SUM(H376:H377)</f>
        <v>0</v>
      </c>
      <c r="I375" s="37">
        <f t="shared" ref="I375:N375" si="218">I376</f>
        <v>0</v>
      </c>
      <c r="J375" s="37">
        <f t="shared" si="218"/>
        <v>0</v>
      </c>
      <c r="K375" s="38">
        <f t="shared" si="218"/>
        <v>0</v>
      </c>
      <c r="L375" s="38">
        <f t="shared" si="218"/>
        <v>0</v>
      </c>
      <c r="M375" s="38">
        <f t="shared" si="218"/>
        <v>0</v>
      </c>
      <c r="N375" s="39">
        <f t="shared" si="218"/>
        <v>0</v>
      </c>
      <c r="O375" s="37">
        <f>SUM(O376:O377)</f>
        <v>0</v>
      </c>
      <c r="P375" s="60">
        <f>SUM(P376:P377)</f>
        <v>0</v>
      </c>
      <c r="Q375" s="37">
        <f t="shared" ref="Q375:W375" si="219">Q376+Q377</f>
        <v>0</v>
      </c>
      <c r="R375" s="37">
        <f t="shared" si="219"/>
        <v>0</v>
      </c>
      <c r="S375" s="37">
        <f t="shared" si="219"/>
        <v>0</v>
      </c>
      <c r="T375" s="37">
        <f t="shared" si="219"/>
        <v>0</v>
      </c>
      <c r="U375" s="37">
        <f t="shared" si="219"/>
        <v>0</v>
      </c>
      <c r="V375" s="37"/>
      <c r="W375" s="183">
        <f t="shared" si="219"/>
        <v>0</v>
      </c>
      <c r="X375" s="320"/>
      <c r="Y375" s="320"/>
      <c r="Z375" s="353"/>
      <c r="AA375" s="37">
        <f>AA376+AA377</f>
        <v>0</v>
      </c>
      <c r="AB375" s="37">
        <f t="shared" ref="AB375" si="220">AB376+AB377</f>
        <v>0</v>
      </c>
    </row>
    <row r="376" spans="1:28" ht="51" hidden="1" x14ac:dyDescent="0.2">
      <c r="A376" s="46" t="s">
        <v>125</v>
      </c>
      <c r="B376" s="154"/>
      <c r="C376" s="14"/>
      <c r="D376" s="14"/>
      <c r="E376" s="15" t="s">
        <v>44</v>
      </c>
      <c r="F376" s="14"/>
      <c r="G376" s="14" t="s">
        <v>75</v>
      </c>
      <c r="H376" s="37">
        <v>0</v>
      </c>
      <c r="I376" s="37">
        <f>SUM(J376:M376)</f>
        <v>0</v>
      </c>
      <c r="J376" s="37"/>
      <c r="K376" s="38"/>
      <c r="L376" s="38"/>
      <c r="M376" s="38"/>
      <c r="N376" s="39">
        <f>H376+I376</f>
        <v>0</v>
      </c>
      <c r="O376" s="37">
        <v>0</v>
      </c>
      <c r="P376" s="60">
        <v>0</v>
      </c>
      <c r="Q376" s="37">
        <f>R376+S376+T376+U376</f>
        <v>0</v>
      </c>
      <c r="R376" s="37">
        <v>0</v>
      </c>
      <c r="S376" s="37"/>
      <c r="T376" s="37"/>
      <c r="U376" s="37"/>
      <c r="V376" s="37"/>
      <c r="W376" s="183">
        <f>P376+Q376</f>
        <v>0</v>
      </c>
      <c r="X376" s="320"/>
      <c r="Y376" s="320"/>
      <c r="Z376" s="353"/>
      <c r="AA376" s="37">
        <v>0</v>
      </c>
      <c r="AB376" s="37">
        <f>U376+V376</f>
        <v>0</v>
      </c>
    </row>
    <row r="377" spans="1:28" ht="51" hidden="1" x14ac:dyDescent="0.2">
      <c r="A377" s="46" t="s">
        <v>125</v>
      </c>
      <c r="B377" s="154"/>
      <c r="C377" s="14"/>
      <c r="D377" s="14"/>
      <c r="E377" s="15" t="s">
        <v>46</v>
      </c>
      <c r="F377" s="14"/>
      <c r="G377" s="14" t="s">
        <v>75</v>
      </c>
      <c r="H377" s="37">
        <v>0</v>
      </c>
      <c r="I377" s="37"/>
      <c r="J377" s="37"/>
      <c r="K377" s="38"/>
      <c r="L377" s="38"/>
      <c r="M377" s="38"/>
      <c r="N377" s="39"/>
      <c r="O377" s="37">
        <v>0</v>
      </c>
      <c r="P377" s="60">
        <v>0</v>
      </c>
      <c r="Q377" s="37">
        <f>R377+S377+T377+U377</f>
        <v>0</v>
      </c>
      <c r="R377" s="37"/>
      <c r="S377" s="37"/>
      <c r="T377" s="37"/>
      <c r="U377" s="37"/>
      <c r="V377" s="37"/>
      <c r="W377" s="183">
        <f>P377+Q377</f>
        <v>0</v>
      </c>
      <c r="X377" s="320"/>
      <c r="Y377" s="320"/>
      <c r="Z377" s="353"/>
      <c r="AA377" s="37"/>
      <c r="AB377" s="37">
        <f>U377+V377</f>
        <v>0</v>
      </c>
    </row>
    <row r="378" spans="1:28" ht="25.5" x14ac:dyDescent="0.2">
      <c r="A378" s="12" t="s">
        <v>76</v>
      </c>
      <c r="B378" s="189" t="s">
        <v>131</v>
      </c>
      <c r="C378" s="14" t="s">
        <v>280</v>
      </c>
      <c r="D378" s="187" t="s">
        <v>281</v>
      </c>
      <c r="E378" s="15" t="s">
        <v>19</v>
      </c>
      <c r="F378" s="14" t="s">
        <v>77</v>
      </c>
      <c r="G378" s="14"/>
      <c r="H378" s="37">
        <f t="shared" ref="H378:N378" si="221">SUM(H379:H380)</f>
        <v>60000</v>
      </c>
      <c r="I378" s="37">
        <f t="shared" si="221"/>
        <v>0</v>
      </c>
      <c r="J378" s="37">
        <f t="shared" si="221"/>
        <v>0</v>
      </c>
      <c r="K378" s="38">
        <f t="shared" si="221"/>
        <v>0</v>
      </c>
      <c r="L378" s="38">
        <f t="shared" si="221"/>
        <v>0</v>
      </c>
      <c r="M378" s="38">
        <f t="shared" si="221"/>
        <v>0</v>
      </c>
      <c r="N378" s="39">
        <f t="shared" si="221"/>
        <v>60000</v>
      </c>
      <c r="O378" s="37">
        <f>SUM(O379:O380)</f>
        <v>48000</v>
      </c>
      <c r="P378" s="60">
        <f>SUM(P379:P380)</f>
        <v>48000</v>
      </c>
      <c r="Q378" s="60">
        <f t="shared" ref="Q378:W378" si="222">SUM(Q379:Q380)</f>
        <v>0</v>
      </c>
      <c r="R378" s="60">
        <f t="shared" si="222"/>
        <v>0</v>
      </c>
      <c r="S378" s="60">
        <f t="shared" si="222"/>
        <v>0</v>
      </c>
      <c r="T378" s="60">
        <f t="shared" si="222"/>
        <v>0</v>
      </c>
      <c r="U378" s="60">
        <f t="shared" si="222"/>
        <v>0</v>
      </c>
      <c r="V378" s="60">
        <f t="shared" si="222"/>
        <v>0</v>
      </c>
      <c r="W378" s="291">
        <f t="shared" si="222"/>
        <v>48000</v>
      </c>
      <c r="X378" s="320"/>
      <c r="Y378" s="320"/>
      <c r="Z378" s="353"/>
      <c r="AA378" s="60">
        <f>SUM(AA379:AA380)</f>
        <v>0</v>
      </c>
      <c r="AB378" s="60">
        <f t="shared" ref="AB378" si="223">SUM(AB379:AB380)</f>
        <v>48000</v>
      </c>
    </row>
    <row r="379" spans="1:28" ht="25.5" x14ac:dyDescent="0.2">
      <c r="A379" s="46" t="s">
        <v>180</v>
      </c>
      <c r="B379" s="189"/>
      <c r="C379" s="14"/>
      <c r="D379" s="14"/>
      <c r="E379" s="15" t="s">
        <v>44</v>
      </c>
      <c r="F379" s="14"/>
      <c r="G379" s="14" t="s">
        <v>81</v>
      </c>
      <c r="H379" s="37">
        <v>40000</v>
      </c>
      <c r="I379" s="37">
        <f>SUM(J379:M379)</f>
        <v>0</v>
      </c>
      <c r="J379" s="37"/>
      <c r="K379" s="38"/>
      <c r="L379" s="38"/>
      <c r="M379" s="38"/>
      <c r="N379" s="39">
        <f>H379+I379</f>
        <v>40000</v>
      </c>
      <c r="O379" s="37">
        <f>40000*80%</f>
        <v>32000</v>
      </c>
      <c r="P379" s="60">
        <v>32000</v>
      </c>
      <c r="Q379" s="37">
        <f>R379+S379+T379+U379+V379</f>
        <v>0</v>
      </c>
      <c r="R379" s="37"/>
      <c r="S379" s="37"/>
      <c r="T379" s="37"/>
      <c r="U379" s="37">
        <v>0</v>
      </c>
      <c r="V379" s="37"/>
      <c r="W379" s="183">
        <v>32000</v>
      </c>
      <c r="X379" s="320"/>
      <c r="Y379" s="320"/>
      <c r="Z379" s="353"/>
      <c r="AA379" s="37">
        <v>0</v>
      </c>
      <c r="AB379" s="37">
        <v>32000</v>
      </c>
    </row>
    <row r="380" spans="1:28" ht="25.5" x14ac:dyDescent="0.2">
      <c r="A380" s="46" t="s">
        <v>180</v>
      </c>
      <c r="B380" s="154"/>
      <c r="C380" s="14"/>
      <c r="D380" s="14"/>
      <c r="E380" s="15" t="s">
        <v>46</v>
      </c>
      <c r="F380" s="14"/>
      <c r="G380" s="14" t="s">
        <v>81</v>
      </c>
      <c r="H380" s="37">
        <v>20000</v>
      </c>
      <c r="I380" s="37">
        <f>SUM(J380:M380)</f>
        <v>0</v>
      </c>
      <c r="J380" s="37"/>
      <c r="K380" s="38"/>
      <c r="L380" s="38"/>
      <c r="M380" s="38"/>
      <c r="N380" s="39">
        <f>H380+I380</f>
        <v>20000</v>
      </c>
      <c r="O380" s="37">
        <f>20000*80%</f>
        <v>16000</v>
      </c>
      <c r="P380" s="60">
        <v>16000</v>
      </c>
      <c r="Q380" s="37">
        <f>R380+S380+T380+U380+V380</f>
        <v>0</v>
      </c>
      <c r="R380" s="37"/>
      <c r="S380" s="37"/>
      <c r="T380" s="37"/>
      <c r="U380" s="37"/>
      <c r="V380" s="37"/>
      <c r="W380" s="183">
        <v>16000</v>
      </c>
      <c r="X380" s="320"/>
      <c r="Y380" s="320"/>
      <c r="Z380" s="353"/>
      <c r="AA380" s="37"/>
      <c r="AB380" s="37">
        <v>16000</v>
      </c>
    </row>
    <row r="381" spans="1:28" hidden="1" x14ac:dyDescent="0.2">
      <c r="A381" s="192" t="s">
        <v>407</v>
      </c>
      <c r="B381" s="193" t="s">
        <v>131</v>
      </c>
      <c r="C381" s="194" t="s">
        <v>408</v>
      </c>
      <c r="D381" s="194" t="s">
        <v>18</v>
      </c>
      <c r="E381" s="195" t="s">
        <v>19</v>
      </c>
      <c r="F381" s="194"/>
      <c r="G381" s="194"/>
      <c r="H381" s="196"/>
      <c r="I381" s="196"/>
      <c r="J381" s="196"/>
      <c r="K381" s="310"/>
      <c r="L381" s="310"/>
      <c r="M381" s="310"/>
      <c r="N381" s="311"/>
      <c r="O381" s="196"/>
      <c r="P381" s="292">
        <f>P382+P383</f>
        <v>500000</v>
      </c>
      <c r="Q381" s="292">
        <f t="shared" ref="Q381:W381" si="224">Q382+Q383</f>
        <v>0</v>
      </c>
      <c r="R381" s="292">
        <f t="shared" si="224"/>
        <v>0</v>
      </c>
      <c r="S381" s="292">
        <f t="shared" si="224"/>
        <v>0</v>
      </c>
      <c r="T381" s="292">
        <f t="shared" si="224"/>
        <v>0</v>
      </c>
      <c r="U381" s="292">
        <f t="shared" si="224"/>
        <v>0</v>
      </c>
      <c r="V381" s="292">
        <f t="shared" si="224"/>
        <v>0</v>
      </c>
      <c r="W381" s="292">
        <f t="shared" si="224"/>
        <v>0</v>
      </c>
      <c r="X381" s="320"/>
      <c r="Y381" s="320"/>
      <c r="Z381" s="353"/>
      <c r="AA381" s="292">
        <f>AA382+AA383</f>
        <v>0</v>
      </c>
      <c r="AB381" s="292">
        <f t="shared" ref="AB381" si="225">AB382+AB383</f>
        <v>0</v>
      </c>
    </row>
    <row r="382" spans="1:28" ht="51" hidden="1" x14ac:dyDescent="0.2">
      <c r="A382" s="46" t="s">
        <v>473</v>
      </c>
      <c r="B382" s="154"/>
      <c r="C382" s="14"/>
      <c r="D382" s="14" t="s">
        <v>472</v>
      </c>
      <c r="E382" s="15" t="s">
        <v>46</v>
      </c>
      <c r="F382" s="14" t="s">
        <v>51</v>
      </c>
      <c r="G382" s="14" t="s">
        <v>53</v>
      </c>
      <c r="H382" s="37"/>
      <c r="I382" s="37"/>
      <c r="J382" s="37"/>
      <c r="K382" s="38"/>
      <c r="L382" s="38"/>
      <c r="M382" s="38"/>
      <c r="N382" s="63"/>
      <c r="O382" s="37"/>
      <c r="P382" s="60">
        <v>500000</v>
      </c>
      <c r="Q382" s="37">
        <f>R382+S382+T382+U382+V382</f>
        <v>0</v>
      </c>
      <c r="R382" s="37"/>
      <c r="S382" s="37"/>
      <c r="T382" s="37"/>
      <c r="U382" s="37"/>
      <c r="V382" s="37"/>
      <c r="W382" s="37">
        <v>0</v>
      </c>
      <c r="X382" s="320"/>
      <c r="Y382" s="320"/>
      <c r="Z382" s="353"/>
      <c r="AA382" s="37"/>
      <c r="AB382" s="37">
        <v>0</v>
      </c>
    </row>
    <row r="383" spans="1:28" ht="25.5" hidden="1" x14ac:dyDescent="0.2">
      <c r="A383" s="44" t="s">
        <v>414</v>
      </c>
      <c r="B383" s="154"/>
      <c r="C383" s="14"/>
      <c r="D383" s="14" t="s">
        <v>457</v>
      </c>
      <c r="E383" s="15" t="s">
        <v>46</v>
      </c>
      <c r="F383" s="14" t="s">
        <v>58</v>
      </c>
      <c r="G383" s="14" t="s">
        <v>64</v>
      </c>
      <c r="H383" s="37"/>
      <c r="I383" s="37"/>
      <c r="J383" s="37"/>
      <c r="K383" s="38"/>
      <c r="L383" s="38"/>
      <c r="M383" s="38"/>
      <c r="N383" s="63"/>
      <c r="O383" s="37"/>
      <c r="P383" s="60">
        <v>0</v>
      </c>
      <c r="Q383" s="37">
        <f>R383+S383+T383+U383+V383</f>
        <v>0</v>
      </c>
      <c r="R383" s="37"/>
      <c r="S383" s="37"/>
      <c r="T383" s="37"/>
      <c r="U383" s="37"/>
      <c r="V383" s="37"/>
      <c r="W383" s="37">
        <f>P383+Q383</f>
        <v>0</v>
      </c>
      <c r="X383" s="320"/>
      <c r="Y383" s="320"/>
      <c r="Z383" s="353"/>
      <c r="AA383" s="37"/>
      <c r="AB383" s="37">
        <f>U383+V383</f>
        <v>0</v>
      </c>
    </row>
    <row r="384" spans="1:28" s="58" customFormat="1" x14ac:dyDescent="0.2">
      <c r="A384" s="192" t="s">
        <v>291</v>
      </c>
      <c r="B384" s="193" t="s">
        <v>131</v>
      </c>
      <c r="C384" s="194" t="s">
        <v>292</v>
      </c>
      <c r="D384" s="19" t="s">
        <v>18</v>
      </c>
      <c r="E384" s="195" t="s">
        <v>19</v>
      </c>
      <c r="F384" s="194"/>
      <c r="G384" s="194"/>
      <c r="H384" s="196">
        <f t="shared" ref="H384:O384" si="226">H385+H387</f>
        <v>60000</v>
      </c>
      <c r="I384" s="196">
        <f t="shared" si="226"/>
        <v>0</v>
      </c>
      <c r="J384" s="196">
        <f t="shared" si="226"/>
        <v>0</v>
      </c>
      <c r="K384" s="196">
        <f t="shared" si="226"/>
        <v>0</v>
      </c>
      <c r="L384" s="196">
        <f t="shared" si="226"/>
        <v>0</v>
      </c>
      <c r="M384" s="196">
        <f t="shared" si="226"/>
        <v>0</v>
      </c>
      <c r="N384" s="196">
        <f t="shared" si="226"/>
        <v>60000</v>
      </c>
      <c r="O384" s="196">
        <f t="shared" si="226"/>
        <v>48000</v>
      </c>
      <c r="P384" s="292">
        <f t="shared" ref="P384:W384" si="227">P385+P387+P390+P391</f>
        <v>334412.79999999999</v>
      </c>
      <c r="Q384" s="292">
        <f t="shared" si="227"/>
        <v>280588.76</v>
      </c>
      <c r="R384" s="292">
        <f t="shared" si="227"/>
        <v>38188.199999999997</v>
      </c>
      <c r="S384" s="292">
        <f t="shared" si="227"/>
        <v>0</v>
      </c>
      <c r="T384" s="292">
        <f t="shared" si="227"/>
        <v>242400.56</v>
      </c>
      <c r="U384" s="292">
        <f t="shared" si="227"/>
        <v>0</v>
      </c>
      <c r="V384" s="292">
        <f t="shared" si="227"/>
        <v>0</v>
      </c>
      <c r="W384" s="292">
        <f t="shared" si="227"/>
        <v>85000</v>
      </c>
      <c r="X384" s="321"/>
      <c r="Y384" s="321"/>
      <c r="Z384" s="356"/>
      <c r="AA384" s="292">
        <f>AA385+AA387+AA390+AA391</f>
        <v>123188.8</v>
      </c>
      <c r="AB384" s="292">
        <f t="shared" ref="AB384" si="228">AB385+AB387+AB390+AB391</f>
        <v>85000</v>
      </c>
    </row>
    <row r="385" spans="1:28" ht="25.5" hidden="1" x14ac:dyDescent="0.2">
      <c r="A385" s="157" t="s">
        <v>293</v>
      </c>
      <c r="B385" s="97">
        <v>804</v>
      </c>
      <c r="C385" s="98" t="s">
        <v>294</v>
      </c>
      <c r="D385" s="98" t="s">
        <v>458</v>
      </c>
      <c r="E385" s="99" t="s">
        <v>46</v>
      </c>
      <c r="F385" s="98" t="s">
        <v>58</v>
      </c>
      <c r="G385" s="98"/>
      <c r="H385" s="158">
        <f>H386</f>
        <v>20000</v>
      </c>
      <c r="I385" s="158">
        <f t="shared" ref="I385:N385" si="229">I386</f>
        <v>-19955</v>
      </c>
      <c r="J385" s="158">
        <f t="shared" si="229"/>
        <v>-19955</v>
      </c>
      <c r="K385" s="159">
        <f t="shared" si="229"/>
        <v>0</v>
      </c>
      <c r="L385" s="159">
        <f t="shared" si="229"/>
        <v>0</v>
      </c>
      <c r="M385" s="159">
        <f t="shared" si="229"/>
        <v>0</v>
      </c>
      <c r="N385" s="160">
        <f t="shared" si="229"/>
        <v>45</v>
      </c>
      <c r="O385" s="158">
        <f>O386</f>
        <v>16000</v>
      </c>
      <c r="P385" s="158">
        <f>P386</f>
        <v>249412.8</v>
      </c>
      <c r="Q385" s="158">
        <f t="shared" ref="Q385:W385" si="230">Q386</f>
        <v>280588.76</v>
      </c>
      <c r="R385" s="158">
        <f t="shared" si="230"/>
        <v>38188.199999999997</v>
      </c>
      <c r="S385" s="158">
        <f t="shared" si="230"/>
        <v>0</v>
      </c>
      <c r="T385" s="158">
        <f t="shared" si="230"/>
        <v>242400.56</v>
      </c>
      <c r="U385" s="158">
        <f t="shared" si="230"/>
        <v>0</v>
      </c>
      <c r="V385" s="158">
        <f t="shared" si="230"/>
        <v>0</v>
      </c>
      <c r="W385" s="158">
        <f t="shared" si="230"/>
        <v>0</v>
      </c>
      <c r="X385" s="320"/>
      <c r="Y385" s="320"/>
      <c r="Z385" s="353"/>
      <c r="AA385" s="158">
        <f>AA386</f>
        <v>38188.800000000003</v>
      </c>
      <c r="AB385" s="158">
        <f t="shared" ref="AB385" si="231">AB386</f>
        <v>0</v>
      </c>
    </row>
    <row r="386" spans="1:28" hidden="1" x14ac:dyDescent="0.2">
      <c r="A386" s="44" t="s">
        <v>295</v>
      </c>
      <c r="B386" s="45"/>
      <c r="C386" s="14"/>
      <c r="D386" s="14"/>
      <c r="E386" s="15"/>
      <c r="F386" s="14"/>
      <c r="G386" s="14" t="s">
        <v>64</v>
      </c>
      <c r="H386" s="37">
        <v>20000</v>
      </c>
      <c r="I386" s="37">
        <f>SUM(J386:M386)</f>
        <v>-19955</v>
      </c>
      <c r="J386" s="37">
        <f>-18455-1500</f>
        <v>-19955</v>
      </c>
      <c r="K386" s="38"/>
      <c r="L386" s="38"/>
      <c r="M386" s="38"/>
      <c r="N386" s="39">
        <f>H386+I386</f>
        <v>45</v>
      </c>
      <c r="O386" s="37">
        <f>20000*80%</f>
        <v>16000</v>
      </c>
      <c r="P386" s="60">
        <v>249412.8</v>
      </c>
      <c r="Q386" s="37">
        <f>R386+S386+T386+U386+V386</f>
        <v>280588.76</v>
      </c>
      <c r="R386" s="37">
        <v>38188.199999999997</v>
      </c>
      <c r="S386" s="37"/>
      <c r="T386" s="37">
        <v>242400.56</v>
      </c>
      <c r="U386" s="37">
        <v>0</v>
      </c>
      <c r="V386" s="37"/>
      <c r="W386" s="37">
        <v>0</v>
      </c>
      <c r="X386" s="320">
        <f>530001.56-491813.36</f>
        <v>38188.20000000007</v>
      </c>
      <c r="Y386" s="320"/>
      <c r="Z386" s="353"/>
      <c r="AA386" s="37">
        <v>38188.800000000003</v>
      </c>
      <c r="AB386" s="37">
        <v>0</v>
      </c>
    </row>
    <row r="387" spans="1:28" s="80" customFormat="1" x14ac:dyDescent="0.2">
      <c r="A387" s="197" t="s">
        <v>295</v>
      </c>
      <c r="B387" s="198">
        <v>804</v>
      </c>
      <c r="C387" s="199" t="s">
        <v>294</v>
      </c>
      <c r="D387" s="98" t="s">
        <v>458</v>
      </c>
      <c r="E387" s="200" t="s">
        <v>46</v>
      </c>
      <c r="F387" s="199" t="s">
        <v>19</v>
      </c>
      <c r="G387" s="199"/>
      <c r="H387" s="201">
        <f>SUM(H388:H389)</f>
        <v>40000</v>
      </c>
      <c r="I387" s="201">
        <f t="shared" ref="I387:N387" si="232">SUM(I388:I389)</f>
        <v>19955</v>
      </c>
      <c r="J387" s="201">
        <f t="shared" si="232"/>
        <v>19955</v>
      </c>
      <c r="K387" s="201">
        <f t="shared" si="232"/>
        <v>0</v>
      </c>
      <c r="L387" s="201">
        <f t="shared" si="232"/>
        <v>0</v>
      </c>
      <c r="M387" s="201">
        <f t="shared" si="232"/>
        <v>0</v>
      </c>
      <c r="N387" s="201">
        <f t="shared" si="232"/>
        <v>59955</v>
      </c>
      <c r="O387" s="201">
        <f>SUM(O388:O389)</f>
        <v>32000</v>
      </c>
      <c r="P387" s="293">
        <f>P389+P392</f>
        <v>85000</v>
      </c>
      <c r="Q387" s="293">
        <f t="shared" ref="Q387:W387" si="233">Q389+Q392</f>
        <v>0</v>
      </c>
      <c r="R387" s="293">
        <f t="shared" si="233"/>
        <v>0</v>
      </c>
      <c r="S387" s="293">
        <f t="shared" si="233"/>
        <v>0</v>
      </c>
      <c r="T387" s="293">
        <f t="shared" si="233"/>
        <v>0</v>
      </c>
      <c r="U387" s="293">
        <f t="shared" si="233"/>
        <v>0</v>
      </c>
      <c r="V387" s="293">
        <f t="shared" si="233"/>
        <v>0</v>
      </c>
      <c r="W387" s="293">
        <f t="shared" si="233"/>
        <v>85000</v>
      </c>
      <c r="X387" s="322"/>
      <c r="Y387" s="322"/>
      <c r="Z387" s="357"/>
      <c r="AA387" s="293">
        <f>AA389+AA392</f>
        <v>85000</v>
      </c>
      <c r="AB387" s="293">
        <f t="shared" ref="AB387" si="234">AB389+AB392</f>
        <v>85000</v>
      </c>
    </row>
    <row r="388" spans="1:28" hidden="1" x14ac:dyDescent="0.2">
      <c r="A388" s="44" t="s">
        <v>295</v>
      </c>
      <c r="B388" s="45"/>
      <c r="C388" s="14"/>
      <c r="D388" s="14"/>
      <c r="E388" s="15"/>
      <c r="F388" s="14"/>
      <c r="G388" s="14"/>
      <c r="H388" s="37">
        <v>0</v>
      </c>
      <c r="I388" s="37">
        <f>SUM(J388:M388)</f>
        <v>18455</v>
      </c>
      <c r="J388" s="37">
        <v>18455</v>
      </c>
      <c r="K388" s="38"/>
      <c r="L388" s="38"/>
      <c r="M388" s="38"/>
      <c r="N388" s="39">
        <f>H388+I388</f>
        <v>18455</v>
      </c>
      <c r="O388" s="37">
        <v>0</v>
      </c>
      <c r="P388" s="60">
        <v>0</v>
      </c>
      <c r="Q388" s="37"/>
      <c r="R388" s="37"/>
      <c r="S388" s="37"/>
      <c r="T388" s="37"/>
      <c r="U388" s="37"/>
      <c r="V388" s="37"/>
      <c r="W388" s="37"/>
      <c r="X388" s="320"/>
      <c r="Y388" s="320"/>
      <c r="Z388" s="353"/>
      <c r="AA388" s="37"/>
      <c r="AB388" s="37"/>
    </row>
    <row r="389" spans="1:28" x14ac:dyDescent="0.2">
      <c r="A389" s="44" t="s">
        <v>295</v>
      </c>
      <c r="B389" s="45"/>
      <c r="C389" s="14"/>
      <c r="D389" s="14"/>
      <c r="E389" s="15"/>
      <c r="F389" s="14" t="s">
        <v>77</v>
      </c>
      <c r="G389" s="14" t="s">
        <v>81</v>
      </c>
      <c r="H389" s="37">
        <v>40000</v>
      </c>
      <c r="I389" s="37">
        <f>SUM(J389:M389)</f>
        <v>1500</v>
      </c>
      <c r="J389" s="37">
        <v>1500</v>
      </c>
      <c r="K389" s="38"/>
      <c r="L389" s="38"/>
      <c r="M389" s="38"/>
      <c r="N389" s="39">
        <f>H389+I389</f>
        <v>41500</v>
      </c>
      <c r="O389" s="37">
        <f>40000*80%</f>
        <v>32000</v>
      </c>
      <c r="P389" s="60">
        <v>45000</v>
      </c>
      <c r="Q389" s="37">
        <f>R389+S389+T389+U389+V389</f>
        <v>0</v>
      </c>
      <c r="R389" s="37"/>
      <c r="S389" s="37"/>
      <c r="T389" s="37"/>
      <c r="U389" s="37">
        <v>0</v>
      </c>
      <c r="V389" s="37"/>
      <c r="W389" s="183">
        <v>45000</v>
      </c>
      <c r="X389" s="320"/>
      <c r="Y389" s="320"/>
      <c r="Z389" s="353"/>
      <c r="AA389" s="37">
        <v>45000</v>
      </c>
      <c r="AB389" s="37">
        <v>45000</v>
      </c>
    </row>
    <row r="390" spans="1:28" ht="25.5" hidden="1" x14ac:dyDescent="0.2">
      <c r="A390" s="44" t="s">
        <v>296</v>
      </c>
      <c r="B390" s="202">
        <v>804</v>
      </c>
      <c r="C390" s="187" t="s">
        <v>294</v>
      </c>
      <c r="D390" s="187" t="s">
        <v>297</v>
      </c>
      <c r="E390" s="203" t="s">
        <v>46</v>
      </c>
      <c r="F390" s="187" t="s">
        <v>58</v>
      </c>
      <c r="G390" s="187" t="s">
        <v>64</v>
      </c>
      <c r="H390" s="181">
        <f>SUM(H396:H397)</f>
        <v>39621805.059999995</v>
      </c>
      <c r="I390" s="181" t="e">
        <f t="shared" ref="I390:N391" si="235">SUM(I396:I397)</f>
        <v>#REF!</v>
      </c>
      <c r="J390" s="181" t="e">
        <f t="shared" si="235"/>
        <v>#REF!</v>
      </c>
      <c r="K390" s="181" t="e">
        <f t="shared" si="235"/>
        <v>#REF!</v>
      </c>
      <c r="L390" s="181" t="e">
        <f t="shared" si="235"/>
        <v>#REF!</v>
      </c>
      <c r="M390" s="181" t="e">
        <f t="shared" si="235"/>
        <v>#REF!</v>
      </c>
      <c r="N390" s="181" t="e">
        <f t="shared" si="235"/>
        <v>#REF!</v>
      </c>
      <c r="O390" s="181">
        <f>SUM(O396:O397)</f>
        <v>39018926.883999996</v>
      </c>
      <c r="P390" s="294">
        <v>0</v>
      </c>
      <c r="Q390" s="37">
        <f t="shared" ref="Q390:Q395" si="236">R390+S390+T390+U390</f>
        <v>0</v>
      </c>
      <c r="R390" s="181"/>
      <c r="S390" s="181"/>
      <c r="T390" s="181">
        <v>0</v>
      </c>
      <c r="U390" s="181">
        <v>0</v>
      </c>
      <c r="V390" s="181"/>
      <c r="W390" s="183">
        <f>P390+Q390</f>
        <v>0</v>
      </c>
      <c r="X390" s="320"/>
      <c r="Y390" s="320"/>
      <c r="Z390" s="353"/>
      <c r="AA390" s="181"/>
      <c r="AB390" s="37">
        <f>U390+V390</f>
        <v>0</v>
      </c>
    </row>
    <row r="391" spans="1:28" ht="25.5" hidden="1" x14ac:dyDescent="0.2">
      <c r="A391" s="44" t="s">
        <v>298</v>
      </c>
      <c r="B391" s="202">
        <v>804</v>
      </c>
      <c r="C391" s="187" t="s">
        <v>294</v>
      </c>
      <c r="D391" s="187" t="s">
        <v>297</v>
      </c>
      <c r="E391" s="203"/>
      <c r="F391" s="187" t="s">
        <v>77</v>
      </c>
      <c r="G391" s="187" t="s">
        <v>81</v>
      </c>
      <c r="H391" s="181">
        <f>SUM(H397:H398)</f>
        <v>39121805.059999995</v>
      </c>
      <c r="I391" s="181" t="e">
        <f t="shared" si="235"/>
        <v>#REF!</v>
      </c>
      <c r="J391" s="181" t="e">
        <f t="shared" si="235"/>
        <v>#REF!</v>
      </c>
      <c r="K391" s="181" t="e">
        <f t="shared" si="235"/>
        <v>#REF!</v>
      </c>
      <c r="L391" s="181" t="e">
        <f t="shared" si="235"/>
        <v>#REF!</v>
      </c>
      <c r="M391" s="181" t="e">
        <f t="shared" si="235"/>
        <v>#REF!</v>
      </c>
      <c r="N391" s="181" t="e">
        <f t="shared" si="235"/>
        <v>#REF!</v>
      </c>
      <c r="O391" s="181">
        <f>SUM(O397:O398)</f>
        <v>38618926.883999996</v>
      </c>
      <c r="P391" s="294">
        <v>0</v>
      </c>
      <c r="Q391" s="37">
        <f t="shared" si="236"/>
        <v>0</v>
      </c>
      <c r="R391" s="181"/>
      <c r="S391" s="181"/>
      <c r="T391" s="181">
        <v>0</v>
      </c>
      <c r="U391" s="181"/>
      <c r="V391" s="181"/>
      <c r="W391" s="183">
        <f>P391+Q391</f>
        <v>0</v>
      </c>
      <c r="X391" s="320"/>
      <c r="Y391" s="320"/>
      <c r="Z391" s="353"/>
      <c r="AA391" s="181"/>
      <c r="AB391" s="37">
        <f>U391+V391</f>
        <v>0</v>
      </c>
    </row>
    <row r="392" spans="1:28" x14ac:dyDescent="0.2">
      <c r="A392" s="44" t="s">
        <v>295</v>
      </c>
      <c r="B392" s="202"/>
      <c r="C392" s="187"/>
      <c r="D392" s="187"/>
      <c r="E392" s="203"/>
      <c r="F392" s="187" t="s">
        <v>496</v>
      </c>
      <c r="G392" s="187" t="s">
        <v>166</v>
      </c>
      <c r="H392" s="181"/>
      <c r="I392" s="181"/>
      <c r="J392" s="181"/>
      <c r="K392" s="181"/>
      <c r="L392" s="181"/>
      <c r="M392" s="181"/>
      <c r="N392" s="326"/>
      <c r="O392" s="181"/>
      <c r="P392" s="294">
        <v>40000</v>
      </c>
      <c r="Q392" s="37">
        <f>R392+S392+T392+U392+V392</f>
        <v>0</v>
      </c>
      <c r="R392" s="181"/>
      <c r="S392" s="181"/>
      <c r="T392" s="181"/>
      <c r="U392" s="181"/>
      <c r="V392" s="181"/>
      <c r="W392" s="183">
        <v>40000</v>
      </c>
      <c r="X392" s="320"/>
      <c r="Y392" s="320"/>
      <c r="Z392" s="353"/>
      <c r="AA392" s="181">
        <v>40000</v>
      </c>
      <c r="AB392" s="37">
        <v>40000</v>
      </c>
    </row>
    <row r="393" spans="1:28" ht="25.5" x14ac:dyDescent="0.2">
      <c r="A393" s="204" t="s">
        <v>429</v>
      </c>
      <c r="B393" s="327"/>
      <c r="C393" s="194" t="s">
        <v>300</v>
      </c>
      <c r="D393" s="194" t="s">
        <v>428</v>
      </c>
      <c r="E393" s="195" t="s">
        <v>46</v>
      </c>
      <c r="F393" s="194"/>
      <c r="G393" s="194"/>
      <c r="H393" s="196"/>
      <c r="I393" s="196"/>
      <c r="J393" s="196"/>
      <c r="K393" s="196"/>
      <c r="L393" s="196"/>
      <c r="M393" s="196"/>
      <c r="N393" s="328"/>
      <c r="O393" s="196"/>
      <c r="P393" s="292">
        <f>P394+P395</f>
        <v>35780</v>
      </c>
      <c r="Q393" s="292">
        <f t="shared" si="236"/>
        <v>0</v>
      </c>
      <c r="R393" s="292">
        <f t="shared" ref="R393:W393" si="237">R394+R395</f>
        <v>0</v>
      </c>
      <c r="S393" s="292">
        <f t="shared" si="237"/>
        <v>0</v>
      </c>
      <c r="T393" s="292">
        <f t="shared" si="237"/>
        <v>0</v>
      </c>
      <c r="U393" s="292">
        <f t="shared" si="237"/>
        <v>0</v>
      </c>
      <c r="V393" s="292">
        <f t="shared" si="237"/>
        <v>0</v>
      </c>
      <c r="W393" s="292">
        <f t="shared" si="237"/>
        <v>35780</v>
      </c>
      <c r="X393" s="320"/>
      <c r="Y393" s="320"/>
      <c r="Z393" s="353"/>
      <c r="AA393" s="292">
        <f>AA394+AA395</f>
        <v>27705</v>
      </c>
      <c r="AB393" s="292">
        <f t="shared" ref="AB393" si="238">AB394+AB395</f>
        <v>35780</v>
      </c>
    </row>
    <row r="394" spans="1:28" ht="25.5" x14ac:dyDescent="0.2">
      <c r="A394" s="44" t="s">
        <v>322</v>
      </c>
      <c r="B394" s="202"/>
      <c r="C394" s="187"/>
      <c r="D394" s="187"/>
      <c r="E394" s="203"/>
      <c r="F394" s="187" t="s">
        <v>496</v>
      </c>
      <c r="G394" s="187" t="s">
        <v>166</v>
      </c>
      <c r="H394" s="181"/>
      <c r="I394" s="181"/>
      <c r="J394" s="181"/>
      <c r="K394" s="181"/>
      <c r="L394" s="181"/>
      <c r="M394" s="181"/>
      <c r="N394" s="326"/>
      <c r="O394" s="181"/>
      <c r="P394" s="294">
        <v>35780</v>
      </c>
      <c r="Q394" s="37">
        <f>R394+S394+T394+U394+V394</f>
        <v>0</v>
      </c>
      <c r="R394" s="181"/>
      <c r="S394" s="181"/>
      <c r="T394" s="181"/>
      <c r="U394" s="181"/>
      <c r="V394" s="181"/>
      <c r="W394" s="37">
        <v>35780</v>
      </c>
      <c r="X394" s="320"/>
      <c r="Y394" s="320"/>
      <c r="Z394" s="353"/>
      <c r="AA394" s="181">
        <v>27705</v>
      </c>
      <c r="AB394" s="37">
        <v>35780</v>
      </c>
    </row>
    <row r="395" spans="1:28" ht="25.5" hidden="1" x14ac:dyDescent="0.2">
      <c r="A395" s="46" t="s">
        <v>80</v>
      </c>
      <c r="B395" s="202"/>
      <c r="C395" s="187"/>
      <c r="D395" s="187"/>
      <c r="E395" s="203"/>
      <c r="F395" s="187" t="s">
        <v>77</v>
      </c>
      <c r="G395" s="187" t="s">
        <v>81</v>
      </c>
      <c r="H395" s="181"/>
      <c r="I395" s="181"/>
      <c r="J395" s="181"/>
      <c r="K395" s="181"/>
      <c r="L395" s="181"/>
      <c r="M395" s="181"/>
      <c r="N395" s="326"/>
      <c r="O395" s="181"/>
      <c r="P395" s="294">
        <v>0</v>
      </c>
      <c r="Q395" s="37">
        <f t="shared" si="236"/>
        <v>0</v>
      </c>
      <c r="R395" s="181">
        <v>0</v>
      </c>
      <c r="S395" s="181"/>
      <c r="T395" s="181"/>
      <c r="U395" s="181"/>
      <c r="V395" s="181"/>
      <c r="W395" s="37">
        <f>P395+Q395</f>
        <v>0</v>
      </c>
      <c r="X395" s="320"/>
      <c r="Y395" s="320"/>
      <c r="Z395" s="353"/>
      <c r="AA395" s="181">
        <v>0</v>
      </c>
      <c r="AB395" s="37">
        <f>U395+V395</f>
        <v>0</v>
      </c>
    </row>
    <row r="396" spans="1:28" ht="25.5" x14ac:dyDescent="0.2">
      <c r="A396" s="204" t="s">
        <v>299</v>
      </c>
      <c r="B396" s="205"/>
      <c r="C396" s="206" t="s">
        <v>300</v>
      </c>
      <c r="D396" s="19" t="s">
        <v>18</v>
      </c>
      <c r="E396" s="207" t="s">
        <v>19</v>
      </c>
      <c r="F396" s="208"/>
      <c r="G396" s="208"/>
      <c r="H396" s="132">
        <f t="shared" ref="H396:V396" si="239">H397+H488</f>
        <v>20060902.529999997</v>
      </c>
      <c r="I396" s="132" t="e">
        <f t="shared" si="239"/>
        <v>#REF!</v>
      </c>
      <c r="J396" s="132" t="e">
        <f t="shared" si="239"/>
        <v>#REF!</v>
      </c>
      <c r="K396" s="209" t="e">
        <f t="shared" si="239"/>
        <v>#REF!</v>
      </c>
      <c r="L396" s="209" t="e">
        <f t="shared" si="239"/>
        <v>#REF!</v>
      </c>
      <c r="M396" s="209" t="e">
        <f t="shared" si="239"/>
        <v>#REF!</v>
      </c>
      <c r="N396" s="210" t="e">
        <f t="shared" si="239"/>
        <v>#REF!</v>
      </c>
      <c r="O396" s="132">
        <f t="shared" si="239"/>
        <v>19709463.441999998</v>
      </c>
      <c r="P396" s="295">
        <f t="shared" si="239"/>
        <v>28426759.039999999</v>
      </c>
      <c r="Q396" s="295">
        <f t="shared" si="239"/>
        <v>6837874.709999999</v>
      </c>
      <c r="R396" s="295">
        <f t="shared" si="239"/>
        <v>-59393.500000000044</v>
      </c>
      <c r="S396" s="295">
        <f t="shared" si="239"/>
        <v>1352500.21</v>
      </c>
      <c r="T396" s="295">
        <f t="shared" si="239"/>
        <v>0</v>
      </c>
      <c r="U396" s="295">
        <f t="shared" si="239"/>
        <v>0</v>
      </c>
      <c r="V396" s="295">
        <f t="shared" si="239"/>
        <v>5544768</v>
      </c>
      <c r="W396" s="295">
        <f>W397+W488</f>
        <v>32930972.400000002</v>
      </c>
      <c r="X396" s="320"/>
      <c r="Y396" s="320"/>
      <c r="Z396" s="353"/>
      <c r="AA396" s="295">
        <f>AA397+AA488</f>
        <v>1231516.25</v>
      </c>
      <c r="AB396" s="295">
        <f>AB397+AB488</f>
        <v>16543654.359999999</v>
      </c>
    </row>
    <row r="397" spans="1:28" ht="51" x14ac:dyDescent="0.2">
      <c r="A397" s="22" t="s">
        <v>301</v>
      </c>
      <c r="B397" s="23"/>
      <c r="C397" s="24" t="s">
        <v>302</v>
      </c>
      <c r="D397" s="24" t="s">
        <v>18</v>
      </c>
      <c r="E397" s="25" t="s">
        <v>19</v>
      </c>
      <c r="F397" s="186"/>
      <c r="G397" s="186"/>
      <c r="H397" s="26">
        <f t="shared" ref="H397:W398" si="240">H398</f>
        <v>19560902.529999997</v>
      </c>
      <c r="I397" s="26" t="e">
        <f t="shared" si="240"/>
        <v>#REF!</v>
      </c>
      <c r="J397" s="26" t="e">
        <f t="shared" si="240"/>
        <v>#REF!</v>
      </c>
      <c r="K397" s="27" t="e">
        <f t="shared" si="240"/>
        <v>#REF!</v>
      </c>
      <c r="L397" s="27" t="e">
        <f t="shared" si="240"/>
        <v>#REF!</v>
      </c>
      <c r="M397" s="27" t="e">
        <f t="shared" si="240"/>
        <v>#REF!</v>
      </c>
      <c r="N397" s="28" t="e">
        <f t="shared" si="240"/>
        <v>#REF!</v>
      </c>
      <c r="O397" s="26">
        <f t="shared" si="240"/>
        <v>19309463.441999998</v>
      </c>
      <c r="P397" s="280">
        <f t="shared" si="240"/>
        <v>28103709.32</v>
      </c>
      <c r="Q397" s="280">
        <f>Q398</f>
        <v>6880706.0799999991</v>
      </c>
      <c r="R397" s="280">
        <f>R398</f>
        <v>-16562.130000000045</v>
      </c>
      <c r="S397" s="280">
        <f t="shared" si="240"/>
        <v>1352500.21</v>
      </c>
      <c r="T397" s="280">
        <f t="shared" si="240"/>
        <v>0</v>
      </c>
      <c r="U397" s="280">
        <f t="shared" si="240"/>
        <v>0</v>
      </c>
      <c r="V397" s="280">
        <f t="shared" si="240"/>
        <v>5544768</v>
      </c>
      <c r="W397" s="280">
        <f t="shared" si="240"/>
        <v>32650754.050000001</v>
      </c>
      <c r="X397" s="320"/>
      <c r="Y397" s="320"/>
      <c r="Z397" s="353"/>
      <c r="AA397" s="280">
        <f>AA398</f>
        <v>887979.85999999987</v>
      </c>
      <c r="AB397" s="280">
        <f t="shared" ref="AB397:AB398" si="241">AB398</f>
        <v>16263436.01</v>
      </c>
    </row>
    <row r="398" spans="1:28" ht="25.5" x14ac:dyDescent="0.2">
      <c r="A398" s="124" t="s">
        <v>303</v>
      </c>
      <c r="B398" s="94"/>
      <c r="C398" s="31" t="s">
        <v>302</v>
      </c>
      <c r="D398" s="150" t="s">
        <v>18</v>
      </c>
      <c r="E398" s="32" t="s">
        <v>19</v>
      </c>
      <c r="F398" s="14"/>
      <c r="G398" s="14"/>
      <c r="H398" s="33">
        <f t="shared" si="240"/>
        <v>19560902.529999997</v>
      </c>
      <c r="I398" s="33" t="e">
        <f t="shared" si="240"/>
        <v>#REF!</v>
      </c>
      <c r="J398" s="33" t="e">
        <f t="shared" si="240"/>
        <v>#REF!</v>
      </c>
      <c r="K398" s="34" t="e">
        <f t="shared" si="240"/>
        <v>#REF!</v>
      </c>
      <c r="L398" s="34" t="e">
        <f t="shared" si="240"/>
        <v>#REF!</v>
      </c>
      <c r="M398" s="34" t="e">
        <f t="shared" si="240"/>
        <v>#REF!</v>
      </c>
      <c r="N398" s="35" t="e">
        <f t="shared" si="240"/>
        <v>#REF!</v>
      </c>
      <c r="O398" s="33">
        <f t="shared" si="240"/>
        <v>19309463.441999998</v>
      </c>
      <c r="P398" s="281">
        <f t="shared" si="240"/>
        <v>28103709.32</v>
      </c>
      <c r="Q398" s="281">
        <f t="shared" si="240"/>
        <v>6880706.0799999991</v>
      </c>
      <c r="R398" s="281">
        <f>R399</f>
        <v>-16562.130000000045</v>
      </c>
      <c r="S398" s="281">
        <f t="shared" si="240"/>
        <v>1352500.21</v>
      </c>
      <c r="T398" s="281">
        <f t="shared" si="240"/>
        <v>0</v>
      </c>
      <c r="U398" s="281">
        <f t="shared" si="240"/>
        <v>0</v>
      </c>
      <c r="V398" s="281">
        <f t="shared" si="240"/>
        <v>5544768</v>
      </c>
      <c r="W398" s="281">
        <f t="shared" si="240"/>
        <v>32650754.050000001</v>
      </c>
      <c r="X398" s="320"/>
      <c r="Y398" s="320"/>
      <c r="Z398" s="353"/>
      <c r="AA398" s="281">
        <f>AA399</f>
        <v>887979.85999999987</v>
      </c>
      <c r="AB398" s="281">
        <f t="shared" si="241"/>
        <v>16263436.01</v>
      </c>
    </row>
    <row r="399" spans="1:28" ht="25.5" x14ac:dyDescent="0.2">
      <c r="A399" s="124" t="s">
        <v>304</v>
      </c>
      <c r="B399" s="179" t="s">
        <v>131</v>
      </c>
      <c r="C399" s="31" t="s">
        <v>302</v>
      </c>
      <c r="D399" s="150" t="s">
        <v>18</v>
      </c>
      <c r="E399" s="32" t="s">
        <v>19</v>
      </c>
      <c r="F399" s="31"/>
      <c r="G399" s="31"/>
      <c r="H399" s="33">
        <f t="shared" ref="H399:V399" si="242">H400+H418+H459+H468</f>
        <v>19560902.529999997</v>
      </c>
      <c r="I399" s="33" t="e">
        <f t="shared" si="242"/>
        <v>#REF!</v>
      </c>
      <c r="J399" s="33" t="e">
        <f t="shared" si="242"/>
        <v>#REF!</v>
      </c>
      <c r="K399" s="34" t="e">
        <f t="shared" si="242"/>
        <v>#REF!</v>
      </c>
      <c r="L399" s="34" t="e">
        <f t="shared" si="242"/>
        <v>#REF!</v>
      </c>
      <c r="M399" s="34" t="e">
        <f t="shared" si="242"/>
        <v>#REF!</v>
      </c>
      <c r="N399" s="35" t="e">
        <f t="shared" si="242"/>
        <v>#REF!</v>
      </c>
      <c r="O399" s="33">
        <f t="shared" si="242"/>
        <v>19309463.441999998</v>
      </c>
      <c r="P399" s="281">
        <f t="shared" si="242"/>
        <v>28103709.32</v>
      </c>
      <c r="Q399" s="281">
        <f t="shared" si="242"/>
        <v>6880706.0799999991</v>
      </c>
      <c r="R399" s="281">
        <f t="shared" si="242"/>
        <v>-16562.130000000045</v>
      </c>
      <c r="S399" s="281">
        <f t="shared" si="242"/>
        <v>1352500.21</v>
      </c>
      <c r="T399" s="281">
        <f t="shared" si="242"/>
        <v>0</v>
      </c>
      <c r="U399" s="281">
        <f t="shared" si="242"/>
        <v>0</v>
      </c>
      <c r="V399" s="281">
        <f t="shared" si="242"/>
        <v>5544768</v>
      </c>
      <c r="W399" s="281">
        <f>W400+W418+W459+W468</f>
        <v>32650754.050000001</v>
      </c>
      <c r="X399" s="321"/>
      <c r="Y399" s="320"/>
      <c r="Z399" s="353"/>
      <c r="AA399" s="281">
        <f>AA400+AA418+AA459+AA468</f>
        <v>887979.85999999987</v>
      </c>
      <c r="AB399" s="281">
        <f t="shared" ref="AB399" si="243">AB400+AB418+AB459+AB468</f>
        <v>16263436.01</v>
      </c>
    </row>
    <row r="400" spans="1:28" ht="25.5" x14ac:dyDescent="0.2">
      <c r="A400" s="29" t="s">
        <v>24</v>
      </c>
      <c r="B400" s="179" t="s">
        <v>131</v>
      </c>
      <c r="C400" s="31" t="s">
        <v>302</v>
      </c>
      <c r="D400" s="31" t="s">
        <v>305</v>
      </c>
      <c r="E400" s="32" t="s">
        <v>19</v>
      </c>
      <c r="F400" s="31" t="s">
        <v>25</v>
      </c>
      <c r="G400" s="31"/>
      <c r="H400" s="33">
        <f>H401+H407+H412</f>
        <v>14563547.32</v>
      </c>
      <c r="I400" s="33" t="e">
        <f>I401+#REF!+I407+I412+#REF!</f>
        <v>#REF!</v>
      </c>
      <c r="J400" s="33" t="e">
        <f>J401+#REF!+J407+J412+#REF!</f>
        <v>#REF!</v>
      </c>
      <c r="K400" s="33" t="e">
        <f>K401+#REF!+K407+K412+#REF!</f>
        <v>#REF!</v>
      </c>
      <c r="L400" s="33" t="e">
        <f>L401+#REF!+L407+L412+#REF!</f>
        <v>#REF!</v>
      </c>
      <c r="M400" s="33" t="e">
        <f>M401+#REF!+M407+M412+#REF!</f>
        <v>#REF!</v>
      </c>
      <c r="N400" s="33" t="e">
        <f>N401+#REF!+N407+N412+#REF!</f>
        <v>#REF!</v>
      </c>
      <c r="O400" s="33">
        <f>O401+O407+O412</f>
        <v>14562867.32</v>
      </c>
      <c r="P400" s="281">
        <f>P401+P407+P412+P402+P413+P403+P404+P405+P406+P414+P415+P416+P417</f>
        <v>14736584.58</v>
      </c>
      <c r="Q400" s="281">
        <f t="shared" ref="Q400:V400" si="244">Q401+Q407+Q412+Q402+Q413+Q403+Q404+Q405+Q406+Q414+Q415+Q416+Q417</f>
        <v>7195501.46</v>
      </c>
      <c r="R400" s="281">
        <f t="shared" si="244"/>
        <v>1650733.46</v>
      </c>
      <c r="S400" s="281">
        <f t="shared" si="244"/>
        <v>0</v>
      </c>
      <c r="T400" s="281">
        <f t="shared" si="244"/>
        <v>0</v>
      </c>
      <c r="U400" s="281">
        <f t="shared" si="244"/>
        <v>0</v>
      </c>
      <c r="V400" s="281">
        <f t="shared" si="244"/>
        <v>5544768</v>
      </c>
      <c r="W400" s="281">
        <f>W401+W407+W412</f>
        <v>24616296.010000002</v>
      </c>
      <c r="X400" s="281">
        <f>W401+W403+W404+W405+W406+W407+W412+W414+W415+W416+W417</f>
        <v>24616296.010000002</v>
      </c>
      <c r="Y400" s="320"/>
      <c r="Z400" s="353"/>
      <c r="AA400" s="281">
        <f>AA401+AA407+AA412+AA402+AA413</f>
        <v>150000</v>
      </c>
      <c r="AB400" s="281">
        <f t="shared" ref="AB400:AB402" si="245">U400+V400</f>
        <v>5544768</v>
      </c>
    </row>
    <row r="401" spans="1:29" x14ac:dyDescent="0.2">
      <c r="A401" s="12" t="s">
        <v>26</v>
      </c>
      <c r="B401" s="154" t="s">
        <v>131</v>
      </c>
      <c r="C401" s="14" t="s">
        <v>302</v>
      </c>
      <c r="D401" s="36" t="s">
        <v>459</v>
      </c>
      <c r="E401" s="15" t="s">
        <v>282</v>
      </c>
      <c r="F401" s="14" t="s">
        <v>27</v>
      </c>
      <c r="G401" s="14"/>
      <c r="H401" s="37">
        <v>10540183.35</v>
      </c>
      <c r="I401" s="37">
        <f>SUM(J401:M401)</f>
        <v>54806.61</v>
      </c>
      <c r="J401" s="37">
        <v>54806.61</v>
      </c>
      <c r="K401" s="38"/>
      <c r="L401" s="38"/>
      <c r="M401" s="38"/>
      <c r="N401" s="39">
        <f>H401+I401</f>
        <v>10594989.959999999</v>
      </c>
      <c r="O401" s="37">
        <v>10540183.35</v>
      </c>
      <c r="P401" s="60">
        <v>10540170.800000001</v>
      </c>
      <c r="Q401" s="37">
        <f t="shared" ref="Q401:Q406" si="246">R401+S401+T401+U401+V401</f>
        <v>796856.73</v>
      </c>
      <c r="R401" s="37">
        <f>797457.73-601</f>
        <v>796856.73</v>
      </c>
      <c r="S401" s="37"/>
      <c r="T401" s="37"/>
      <c r="U401" s="37"/>
      <c r="V401" s="37"/>
      <c r="W401" s="183">
        <v>18121579.120000001</v>
      </c>
      <c r="X401" s="320">
        <f>11337628.53-W401</f>
        <v>-6783950.5900000017</v>
      </c>
      <c r="Y401" s="320"/>
      <c r="Z401" s="353"/>
      <c r="AA401" s="37">
        <v>0</v>
      </c>
      <c r="AB401" s="183">
        <v>18121579.120000001</v>
      </c>
    </row>
    <row r="402" spans="1:29" hidden="1" x14ac:dyDescent="0.2">
      <c r="A402" s="12" t="s">
        <v>440</v>
      </c>
      <c r="B402" s="154" t="s">
        <v>131</v>
      </c>
      <c r="C402" s="14" t="s">
        <v>302</v>
      </c>
      <c r="D402" s="36" t="s">
        <v>441</v>
      </c>
      <c r="E402" s="15" t="s">
        <v>282</v>
      </c>
      <c r="F402" s="14" t="s">
        <v>27</v>
      </c>
      <c r="G402" s="14"/>
      <c r="H402" s="37"/>
      <c r="I402" s="37"/>
      <c r="J402" s="37"/>
      <c r="K402" s="38"/>
      <c r="L402" s="38"/>
      <c r="M402" s="38"/>
      <c r="N402" s="337"/>
      <c r="O402" s="37"/>
      <c r="P402" s="60">
        <v>0</v>
      </c>
      <c r="Q402" s="37">
        <f t="shared" si="246"/>
        <v>0</v>
      </c>
      <c r="R402" s="37"/>
      <c r="S402" s="37">
        <v>0</v>
      </c>
      <c r="T402" s="37"/>
      <c r="U402" s="37"/>
      <c r="V402" s="37"/>
      <c r="W402" s="183">
        <f t="shared" ref="W402" si="247">P402+Q402</f>
        <v>0</v>
      </c>
      <c r="X402" s="320"/>
      <c r="Y402" s="320"/>
      <c r="Z402" s="353"/>
      <c r="AA402" s="37"/>
      <c r="AB402" s="183">
        <f t="shared" si="245"/>
        <v>0</v>
      </c>
    </row>
    <row r="403" spans="1:29" ht="76.5" hidden="1" x14ac:dyDescent="0.2">
      <c r="A403" s="12" t="s">
        <v>529</v>
      </c>
      <c r="B403" s="154"/>
      <c r="C403" s="14"/>
      <c r="D403" s="36" t="s">
        <v>530</v>
      </c>
      <c r="E403" s="15" t="s">
        <v>282</v>
      </c>
      <c r="F403" s="14" t="s">
        <v>27</v>
      </c>
      <c r="G403" s="14"/>
      <c r="H403" s="37"/>
      <c r="I403" s="37"/>
      <c r="J403" s="37"/>
      <c r="K403" s="38"/>
      <c r="L403" s="38"/>
      <c r="M403" s="38"/>
      <c r="N403" s="337"/>
      <c r="O403" s="37"/>
      <c r="P403" s="60">
        <v>0</v>
      </c>
      <c r="Q403" s="37">
        <f t="shared" si="246"/>
        <v>3582403.99</v>
      </c>
      <c r="R403" s="37"/>
      <c r="S403" s="37"/>
      <c r="T403" s="37"/>
      <c r="U403" s="37"/>
      <c r="V403" s="183">
        <v>3582403.99</v>
      </c>
      <c r="W403" s="183">
        <v>0</v>
      </c>
      <c r="X403" s="320">
        <f>V403+V414</f>
        <v>4664290</v>
      </c>
      <c r="Y403" s="320"/>
      <c r="Z403" s="353"/>
      <c r="AA403" s="37"/>
      <c r="AB403" s="183">
        <v>0</v>
      </c>
      <c r="AC403" s="43"/>
    </row>
    <row r="404" spans="1:29" ht="76.5" hidden="1" x14ac:dyDescent="0.2">
      <c r="A404" s="380" t="s">
        <v>531</v>
      </c>
      <c r="B404" s="154"/>
      <c r="C404" s="14"/>
      <c r="D404" s="36" t="s">
        <v>532</v>
      </c>
      <c r="E404" s="15" t="s">
        <v>282</v>
      </c>
      <c r="F404" s="14" t="s">
        <v>27</v>
      </c>
      <c r="G404" s="14"/>
      <c r="H404" s="37"/>
      <c r="I404" s="37"/>
      <c r="J404" s="37"/>
      <c r="K404" s="38"/>
      <c r="L404" s="38"/>
      <c r="M404" s="38"/>
      <c r="N404" s="337"/>
      <c r="O404" s="37"/>
      <c r="P404" s="60">
        <v>0</v>
      </c>
      <c r="Q404" s="37">
        <f t="shared" si="246"/>
        <v>676251.92</v>
      </c>
      <c r="R404" s="37"/>
      <c r="S404" s="37"/>
      <c r="T404" s="37"/>
      <c r="U404" s="37"/>
      <c r="V404" s="37">
        <v>676251.92</v>
      </c>
      <c r="W404" s="183">
        <v>0</v>
      </c>
      <c r="X404" s="320">
        <f>V404+V415</f>
        <v>880478</v>
      </c>
      <c r="Y404" s="320"/>
      <c r="Z404" s="353"/>
      <c r="AA404" s="37"/>
      <c r="AB404" s="183">
        <v>0</v>
      </c>
      <c r="AC404" s="43"/>
    </row>
    <row r="405" spans="1:29" ht="76.5" hidden="1" x14ac:dyDescent="0.2">
      <c r="A405" s="12" t="s">
        <v>529</v>
      </c>
      <c r="B405" s="154"/>
      <c r="C405" s="14"/>
      <c r="D405" s="36" t="s">
        <v>533</v>
      </c>
      <c r="E405" s="15" t="s">
        <v>282</v>
      </c>
      <c r="F405" s="14" t="s">
        <v>27</v>
      </c>
      <c r="G405" s="14"/>
      <c r="H405" s="37"/>
      <c r="I405" s="37"/>
      <c r="J405" s="37"/>
      <c r="K405" s="38"/>
      <c r="L405" s="38"/>
      <c r="M405" s="38"/>
      <c r="N405" s="337"/>
      <c r="O405" s="37"/>
      <c r="P405" s="60">
        <v>0</v>
      </c>
      <c r="Q405" s="37">
        <f t="shared" si="246"/>
        <v>351781.88</v>
      </c>
      <c r="R405" s="37">
        <f>307611.37+44170.51</f>
        <v>351781.88</v>
      </c>
      <c r="S405" s="37"/>
      <c r="T405" s="37"/>
      <c r="U405" s="37"/>
      <c r="V405" s="37"/>
      <c r="W405" s="183">
        <v>0</v>
      </c>
      <c r="X405" s="320"/>
      <c r="Y405" s="320"/>
      <c r="Z405" s="353"/>
      <c r="AA405" s="37"/>
      <c r="AB405" s="183">
        <v>0</v>
      </c>
    </row>
    <row r="406" spans="1:29" ht="76.5" hidden="1" x14ac:dyDescent="0.2">
      <c r="A406" s="12" t="s">
        <v>529</v>
      </c>
      <c r="B406" s="154"/>
      <c r="C406" s="14"/>
      <c r="D406" s="36" t="s">
        <v>534</v>
      </c>
      <c r="E406" s="15" t="s">
        <v>282</v>
      </c>
      <c r="F406" s="14" t="s">
        <v>27</v>
      </c>
      <c r="G406" s="14"/>
      <c r="H406" s="37"/>
      <c r="I406" s="37"/>
      <c r="J406" s="37"/>
      <c r="K406" s="38"/>
      <c r="L406" s="38"/>
      <c r="M406" s="38"/>
      <c r="N406" s="337"/>
      <c r="O406" s="37"/>
      <c r="P406" s="60">
        <v>0</v>
      </c>
      <c r="Q406" s="37">
        <f t="shared" si="246"/>
        <v>57603.69</v>
      </c>
      <c r="R406" s="37">
        <f>57596.01+7.68</f>
        <v>57603.69</v>
      </c>
      <c r="S406" s="37"/>
      <c r="T406" s="37"/>
      <c r="U406" s="37"/>
      <c r="V406" s="37"/>
      <c r="W406" s="183">
        <v>0</v>
      </c>
      <c r="X406" s="320"/>
      <c r="Y406" s="320"/>
      <c r="Z406" s="353"/>
      <c r="AA406" s="37"/>
      <c r="AB406" s="183">
        <v>0</v>
      </c>
    </row>
    <row r="407" spans="1:29" x14ac:dyDescent="0.2">
      <c r="A407" s="12" t="s">
        <v>36</v>
      </c>
      <c r="B407" s="154" t="s">
        <v>131</v>
      </c>
      <c r="C407" s="14" t="s">
        <v>302</v>
      </c>
      <c r="D407" s="36" t="s">
        <v>459</v>
      </c>
      <c r="E407" s="15" t="s">
        <v>19</v>
      </c>
      <c r="F407" s="14" t="s">
        <v>85</v>
      </c>
      <c r="G407" s="14"/>
      <c r="H407" s="37">
        <f t="shared" ref="H407:N407" si="248">SUM(H408:H409)</f>
        <v>840228.6</v>
      </c>
      <c r="I407" s="37">
        <f t="shared" si="248"/>
        <v>-71358.210000000006</v>
      </c>
      <c r="J407" s="37">
        <f t="shared" si="248"/>
        <v>-71358.210000000006</v>
      </c>
      <c r="K407" s="37">
        <f t="shared" si="248"/>
        <v>0</v>
      </c>
      <c r="L407" s="37">
        <f t="shared" si="248"/>
        <v>0</v>
      </c>
      <c r="M407" s="37">
        <f t="shared" si="248"/>
        <v>0</v>
      </c>
      <c r="N407" s="211">
        <f t="shared" si="248"/>
        <v>768870.39</v>
      </c>
      <c r="O407" s="37">
        <f>SUM(O408:O409)</f>
        <v>839548.6</v>
      </c>
      <c r="P407" s="60">
        <f>SUM(P408:P411)</f>
        <v>1013282.2</v>
      </c>
      <c r="Q407" s="60">
        <f t="shared" ref="Q407:S407" si="249">SUM(Q408:Q411)</f>
        <v>38513.449999999997</v>
      </c>
      <c r="R407" s="60">
        <f t="shared" si="249"/>
        <v>38513.449999999997</v>
      </c>
      <c r="S407" s="60">
        <f t="shared" si="249"/>
        <v>0</v>
      </c>
      <c r="T407" s="60">
        <f>SUM(T408:T411)</f>
        <v>0</v>
      </c>
      <c r="U407" s="60">
        <f>SUM(U408:U411)</f>
        <v>0</v>
      </c>
      <c r="V407" s="60">
        <f>SUM(V408:V411)</f>
        <v>0</v>
      </c>
      <c r="W407" s="291">
        <f>SUM(W408:W411)</f>
        <v>1022000</v>
      </c>
      <c r="X407" s="320"/>
      <c r="Y407" s="320"/>
      <c r="Z407" s="353"/>
      <c r="AA407" s="60">
        <f>AA408+AA409+AA410</f>
        <v>150000</v>
      </c>
      <c r="AB407" s="60">
        <f>SUM(AB408:AB411)</f>
        <v>1022000</v>
      </c>
    </row>
    <row r="408" spans="1:29" ht="25.5" hidden="1" x14ac:dyDescent="0.2">
      <c r="A408" s="44" t="s">
        <v>306</v>
      </c>
      <c r="B408" s="45"/>
      <c r="C408" s="14"/>
      <c r="D408" s="36" t="s">
        <v>459</v>
      </c>
      <c r="E408" s="15" t="s">
        <v>283</v>
      </c>
      <c r="F408" s="14"/>
      <c r="G408" s="14" t="s">
        <v>38</v>
      </c>
      <c r="H408" s="37">
        <v>3400</v>
      </c>
      <c r="I408" s="37">
        <f>SUM(J408:M408)</f>
        <v>0</v>
      </c>
      <c r="J408" s="37"/>
      <c r="K408" s="38"/>
      <c r="L408" s="38"/>
      <c r="M408" s="38"/>
      <c r="N408" s="39">
        <f>H408+I408</f>
        <v>3400</v>
      </c>
      <c r="O408" s="37">
        <f>3400*80%</f>
        <v>2720</v>
      </c>
      <c r="P408" s="60">
        <v>144665</v>
      </c>
      <c r="Q408" s="37">
        <f t="shared" ref="Q408:Q417" si="250">R408+S408+T408+U408+V408</f>
        <v>0</v>
      </c>
      <c r="R408" s="37"/>
      <c r="S408" s="37"/>
      <c r="T408" s="37"/>
      <c r="U408" s="37"/>
      <c r="V408" s="37"/>
      <c r="W408" s="183">
        <f>60000-60000</f>
        <v>0</v>
      </c>
      <c r="X408" s="320"/>
      <c r="Y408" s="320"/>
      <c r="Z408" s="353"/>
      <c r="AA408" s="37">
        <v>0</v>
      </c>
      <c r="AB408" s="183">
        <f>60000-60000</f>
        <v>0</v>
      </c>
    </row>
    <row r="409" spans="1:29" ht="25.5" x14ac:dyDescent="0.2">
      <c r="A409" s="46" t="s">
        <v>284</v>
      </c>
      <c r="B409" s="47"/>
      <c r="C409" s="14"/>
      <c r="D409" s="36" t="s">
        <v>459</v>
      </c>
      <c r="E409" s="15" t="s">
        <v>283</v>
      </c>
      <c r="F409" s="14"/>
      <c r="G409" s="14" t="s">
        <v>40</v>
      </c>
      <c r="H409" s="37">
        <f>900000-63171.4</f>
        <v>836828.6</v>
      </c>
      <c r="I409" s="37">
        <f>SUM(J409:M409)</f>
        <v>-71358.210000000006</v>
      </c>
      <c r="J409" s="37">
        <v>-71358.210000000006</v>
      </c>
      <c r="K409" s="38"/>
      <c r="L409" s="38"/>
      <c r="M409" s="38"/>
      <c r="N409" s="39">
        <f>H409+I409</f>
        <v>765470.39</v>
      </c>
      <c r="O409" s="37">
        <f>900000-63171.4</f>
        <v>836828.6</v>
      </c>
      <c r="P409" s="60">
        <v>723417.2</v>
      </c>
      <c r="Q409" s="37">
        <f t="shared" si="250"/>
        <v>38513.449999999997</v>
      </c>
      <c r="R409" s="37">
        <v>38513.449999999997</v>
      </c>
      <c r="S409" s="37"/>
      <c r="T409" s="37"/>
      <c r="U409" s="37"/>
      <c r="V409" s="37"/>
      <c r="W409" s="183">
        <v>1022000</v>
      </c>
      <c r="X409" s="320">
        <f>761930.65-W409</f>
        <v>-260069.34999999998</v>
      </c>
      <c r="Y409" s="320"/>
      <c r="Z409" s="353"/>
      <c r="AA409" s="37">
        <v>150000</v>
      </c>
      <c r="AB409" s="37">
        <v>1022000</v>
      </c>
    </row>
    <row r="410" spans="1:29" hidden="1" x14ac:dyDescent="0.2">
      <c r="A410" s="46" t="s">
        <v>394</v>
      </c>
      <c r="B410" s="47"/>
      <c r="C410" s="14"/>
      <c r="D410" s="36" t="s">
        <v>459</v>
      </c>
      <c r="E410" s="15" t="s">
        <v>283</v>
      </c>
      <c r="F410" s="14"/>
      <c r="G410" s="14" t="s">
        <v>395</v>
      </c>
      <c r="H410" s="37"/>
      <c r="I410" s="37"/>
      <c r="J410" s="37"/>
      <c r="K410" s="38"/>
      <c r="L410" s="38"/>
      <c r="M410" s="38"/>
      <c r="N410" s="39"/>
      <c r="O410" s="37"/>
      <c r="P410" s="60">
        <v>0</v>
      </c>
      <c r="Q410" s="37">
        <f t="shared" si="250"/>
        <v>0</v>
      </c>
      <c r="R410" s="37"/>
      <c r="S410" s="37"/>
      <c r="T410" s="37"/>
      <c r="U410" s="37"/>
      <c r="V410" s="37"/>
      <c r="W410" s="183">
        <f t="shared" ref="W410:W413" si="251">P410+Q410</f>
        <v>0</v>
      </c>
      <c r="X410" s="320"/>
      <c r="Y410" s="320"/>
      <c r="Z410" s="353"/>
      <c r="AA410" s="37">
        <v>0</v>
      </c>
      <c r="AB410" s="37">
        <f t="shared" ref="AB410:AB413" si="252">U410+V410</f>
        <v>0</v>
      </c>
    </row>
    <row r="411" spans="1:29" ht="25.5" hidden="1" x14ac:dyDescent="0.2">
      <c r="A411" s="46" t="s">
        <v>514</v>
      </c>
      <c r="B411" s="47"/>
      <c r="C411" s="14"/>
      <c r="D411" s="36" t="s">
        <v>459</v>
      </c>
      <c r="E411" s="15" t="s">
        <v>283</v>
      </c>
      <c r="F411" s="14"/>
      <c r="G411" s="14" t="s">
        <v>395</v>
      </c>
      <c r="H411" s="37"/>
      <c r="I411" s="37"/>
      <c r="J411" s="37"/>
      <c r="K411" s="38"/>
      <c r="L411" s="38"/>
      <c r="M411" s="38"/>
      <c r="N411" s="39"/>
      <c r="O411" s="37"/>
      <c r="P411" s="60">
        <v>145200</v>
      </c>
      <c r="Q411" s="37">
        <f t="shared" si="250"/>
        <v>0</v>
      </c>
      <c r="R411" s="37"/>
      <c r="S411" s="37"/>
      <c r="T411" s="37"/>
      <c r="U411" s="37"/>
      <c r="V411" s="37"/>
      <c r="W411" s="183">
        <v>0</v>
      </c>
      <c r="X411" s="320"/>
      <c r="Y411" s="320"/>
      <c r="Z411" s="353"/>
      <c r="AA411" s="37"/>
      <c r="AB411" s="37">
        <v>0</v>
      </c>
    </row>
    <row r="412" spans="1:29" x14ac:dyDescent="0.2">
      <c r="A412" s="12" t="s">
        <v>28</v>
      </c>
      <c r="B412" s="154" t="s">
        <v>131</v>
      </c>
      <c r="C412" s="14" t="s">
        <v>302</v>
      </c>
      <c r="D412" s="36" t="s">
        <v>459</v>
      </c>
      <c r="E412" s="15" t="s">
        <v>285</v>
      </c>
      <c r="F412" s="14" t="s">
        <v>30</v>
      </c>
      <c r="G412" s="14"/>
      <c r="H412" s="37">
        <v>3183135.37</v>
      </c>
      <c r="I412" s="37">
        <f>SUM(J412:M412)</f>
        <v>16551.599999999999</v>
      </c>
      <c r="J412" s="37">
        <v>16551.599999999999</v>
      </c>
      <c r="K412" s="38"/>
      <c r="L412" s="38"/>
      <c r="M412" s="38"/>
      <c r="N412" s="39">
        <f>H412+I412</f>
        <v>3199686.97</v>
      </c>
      <c r="O412" s="37">
        <v>3183135.37</v>
      </c>
      <c r="P412" s="291">
        <v>3183131.58</v>
      </c>
      <c r="Q412" s="37">
        <f t="shared" si="250"/>
        <v>282343.28000000003</v>
      </c>
      <c r="R412" s="37">
        <f>281742.28+601</f>
        <v>282343.28000000003</v>
      </c>
      <c r="S412" s="37"/>
      <c r="T412" s="37"/>
      <c r="U412" s="37"/>
      <c r="V412" s="37"/>
      <c r="W412" s="183">
        <v>5472716.8899999997</v>
      </c>
      <c r="X412" s="320">
        <f>3464873.86-W412</f>
        <v>-2007843.0299999998</v>
      </c>
      <c r="Y412" s="320"/>
      <c r="Z412" s="353"/>
      <c r="AA412" s="37">
        <v>0</v>
      </c>
      <c r="AB412" s="183">
        <v>5472716.8899999997</v>
      </c>
    </row>
    <row r="413" spans="1:29" hidden="1" x14ac:dyDescent="0.2">
      <c r="A413" s="12" t="s">
        <v>442</v>
      </c>
      <c r="B413" s="154" t="s">
        <v>131</v>
      </c>
      <c r="C413" s="14" t="s">
        <v>302</v>
      </c>
      <c r="D413" s="36" t="s">
        <v>441</v>
      </c>
      <c r="E413" s="15" t="s">
        <v>285</v>
      </c>
      <c r="F413" s="14" t="s">
        <v>30</v>
      </c>
      <c r="G413" s="14"/>
      <c r="H413" s="37"/>
      <c r="I413" s="37"/>
      <c r="J413" s="37"/>
      <c r="K413" s="38"/>
      <c r="L413" s="38"/>
      <c r="M413" s="38"/>
      <c r="N413" s="63"/>
      <c r="O413" s="37"/>
      <c r="P413" s="291">
        <v>0</v>
      </c>
      <c r="Q413" s="37">
        <f t="shared" si="250"/>
        <v>0</v>
      </c>
      <c r="R413" s="37"/>
      <c r="S413" s="37">
        <v>0</v>
      </c>
      <c r="T413" s="37"/>
      <c r="U413" s="37"/>
      <c r="V413" s="37"/>
      <c r="W413" s="183">
        <f t="shared" si="251"/>
        <v>0</v>
      </c>
      <c r="X413" s="320"/>
      <c r="Y413" s="320"/>
      <c r="Z413" s="353"/>
      <c r="AA413" s="37"/>
      <c r="AB413" s="183">
        <f t="shared" si="252"/>
        <v>0</v>
      </c>
    </row>
    <row r="414" spans="1:29" ht="89.25" hidden="1" x14ac:dyDescent="0.2">
      <c r="A414" s="12" t="s">
        <v>535</v>
      </c>
      <c r="B414" s="154"/>
      <c r="C414" s="14"/>
      <c r="D414" s="36" t="s">
        <v>530</v>
      </c>
      <c r="E414" s="15" t="s">
        <v>285</v>
      </c>
      <c r="F414" s="14" t="s">
        <v>30</v>
      </c>
      <c r="G414" s="14"/>
      <c r="H414" s="37"/>
      <c r="I414" s="37"/>
      <c r="J414" s="37"/>
      <c r="K414" s="38"/>
      <c r="L414" s="38"/>
      <c r="M414" s="38"/>
      <c r="N414" s="63"/>
      <c r="O414" s="37"/>
      <c r="P414" s="291">
        <v>0</v>
      </c>
      <c r="Q414" s="37">
        <f t="shared" si="250"/>
        <v>1081886.01</v>
      </c>
      <c r="R414" s="37"/>
      <c r="S414" s="37"/>
      <c r="T414" s="37"/>
      <c r="U414" s="37"/>
      <c r="V414" s="37">
        <v>1081886.01</v>
      </c>
      <c r="W414" s="183">
        <v>0</v>
      </c>
      <c r="X414" s="320">
        <f>V414+V403</f>
        <v>4664290</v>
      </c>
      <c r="Y414" s="320"/>
      <c r="Z414" s="353"/>
      <c r="AA414" s="37"/>
      <c r="AB414" s="183">
        <v>0</v>
      </c>
    </row>
    <row r="415" spans="1:29" ht="89.25" hidden="1" x14ac:dyDescent="0.2">
      <c r="A415" s="380" t="s">
        <v>536</v>
      </c>
      <c r="B415" s="154"/>
      <c r="C415" s="14"/>
      <c r="D415" s="36" t="s">
        <v>532</v>
      </c>
      <c r="E415" s="15" t="s">
        <v>285</v>
      </c>
      <c r="F415" s="14" t="s">
        <v>30</v>
      </c>
      <c r="G415" s="14"/>
      <c r="H415" s="37"/>
      <c r="I415" s="37"/>
      <c r="J415" s="37"/>
      <c r="K415" s="38"/>
      <c r="L415" s="38"/>
      <c r="M415" s="38"/>
      <c r="N415" s="63"/>
      <c r="O415" s="37"/>
      <c r="P415" s="291">
        <v>0</v>
      </c>
      <c r="Q415" s="37">
        <f t="shared" si="250"/>
        <v>204226.08</v>
      </c>
      <c r="R415" s="37"/>
      <c r="S415" s="37"/>
      <c r="T415" s="37"/>
      <c r="U415" s="37"/>
      <c r="V415" s="183">
        <v>204226.08</v>
      </c>
      <c r="W415" s="183">
        <v>0</v>
      </c>
      <c r="X415" s="320">
        <f>V415+V404</f>
        <v>880478</v>
      </c>
      <c r="Y415" s="320"/>
      <c r="Z415" s="353"/>
      <c r="AA415" s="37"/>
      <c r="AB415" s="183">
        <v>0</v>
      </c>
    </row>
    <row r="416" spans="1:29" ht="89.25" hidden="1" x14ac:dyDescent="0.2">
      <c r="A416" s="12" t="s">
        <v>535</v>
      </c>
      <c r="B416" s="154"/>
      <c r="C416" s="14"/>
      <c r="D416" s="36" t="s">
        <v>533</v>
      </c>
      <c r="E416" s="15" t="s">
        <v>285</v>
      </c>
      <c r="F416" s="14" t="s">
        <v>30</v>
      </c>
      <c r="G416" s="14"/>
      <c r="H416" s="37"/>
      <c r="I416" s="37"/>
      <c r="J416" s="37"/>
      <c r="K416" s="38"/>
      <c r="L416" s="38"/>
      <c r="M416" s="38"/>
      <c r="N416" s="63"/>
      <c r="O416" s="37"/>
      <c r="P416" s="291">
        <v>0</v>
      </c>
      <c r="Q416" s="37">
        <f t="shared" si="250"/>
        <v>106238.12000000001</v>
      </c>
      <c r="R416" s="37">
        <f>92898.63+13339.49</f>
        <v>106238.12000000001</v>
      </c>
      <c r="S416" s="37"/>
      <c r="T416" s="37"/>
      <c r="U416" s="37"/>
      <c r="V416" s="37"/>
      <c r="W416" s="183">
        <v>0</v>
      </c>
      <c r="X416" s="320"/>
      <c r="Y416" s="320"/>
      <c r="Z416" s="353"/>
      <c r="AA416" s="37"/>
      <c r="AB416" s="183">
        <v>0</v>
      </c>
    </row>
    <row r="417" spans="1:28" ht="89.25" hidden="1" x14ac:dyDescent="0.2">
      <c r="A417" s="12" t="s">
        <v>535</v>
      </c>
      <c r="B417" s="154"/>
      <c r="C417" s="14"/>
      <c r="D417" s="36" t="s">
        <v>534</v>
      </c>
      <c r="E417" s="15" t="s">
        <v>285</v>
      </c>
      <c r="F417" s="14" t="s">
        <v>30</v>
      </c>
      <c r="G417" s="14"/>
      <c r="H417" s="37"/>
      <c r="I417" s="37"/>
      <c r="J417" s="37"/>
      <c r="K417" s="38"/>
      <c r="L417" s="38"/>
      <c r="M417" s="38"/>
      <c r="N417" s="63"/>
      <c r="O417" s="37"/>
      <c r="P417" s="291">
        <v>0</v>
      </c>
      <c r="Q417" s="37">
        <f t="shared" si="250"/>
        <v>17396.310000000001</v>
      </c>
      <c r="R417" s="37">
        <f>17393.99+2.32</f>
        <v>17396.310000000001</v>
      </c>
      <c r="S417" s="37"/>
      <c r="T417" s="37"/>
      <c r="U417" s="37"/>
      <c r="V417" s="37"/>
      <c r="W417" s="183">
        <v>0</v>
      </c>
      <c r="X417" s="320"/>
      <c r="Y417" s="320"/>
      <c r="Z417" s="353"/>
      <c r="AA417" s="37"/>
      <c r="AB417" s="183">
        <v>0</v>
      </c>
    </row>
    <row r="418" spans="1:28" x14ac:dyDescent="0.2">
      <c r="A418" s="29" t="s">
        <v>41</v>
      </c>
      <c r="B418" s="179" t="s">
        <v>131</v>
      </c>
      <c r="C418" s="31" t="s">
        <v>302</v>
      </c>
      <c r="D418" s="49" t="s">
        <v>459</v>
      </c>
      <c r="E418" s="32" t="s">
        <v>19</v>
      </c>
      <c r="F418" s="31" t="s">
        <v>42</v>
      </c>
      <c r="G418" s="31"/>
      <c r="H418" s="212">
        <f t="shared" ref="H418:N418" si="253">H419+H420+H421+H426+H436+H445+H431</f>
        <v>3989634.1199999992</v>
      </c>
      <c r="I418" s="212">
        <f t="shared" si="253"/>
        <v>799742.00000000012</v>
      </c>
      <c r="J418" s="212">
        <f t="shared" si="253"/>
        <v>-3258</v>
      </c>
      <c r="K418" s="213">
        <f t="shared" si="253"/>
        <v>0</v>
      </c>
      <c r="L418" s="213">
        <f t="shared" si="253"/>
        <v>143000</v>
      </c>
      <c r="M418" s="213">
        <f t="shared" si="253"/>
        <v>660000</v>
      </c>
      <c r="N418" s="213">
        <f t="shared" si="253"/>
        <v>4694630.6999999993</v>
      </c>
      <c r="O418" s="212">
        <f>O419+O420+O421+O426+O436+O445+O431</f>
        <v>3798875.0319999997</v>
      </c>
      <c r="P418" s="296">
        <f>P419+P420+P421+P426+P436+P445+P431</f>
        <v>11977326</v>
      </c>
      <c r="Q418" s="296">
        <f t="shared" ref="Q418:W418" si="254">Q419+Q420+Q421+Q426+Q436+Q445+Q431</f>
        <v>-361582.48999999987</v>
      </c>
      <c r="R418" s="296">
        <f t="shared" si="254"/>
        <v>-1669104.26</v>
      </c>
      <c r="S418" s="296">
        <f t="shared" si="254"/>
        <v>1307521.77</v>
      </c>
      <c r="T418" s="296">
        <f t="shared" si="254"/>
        <v>0</v>
      </c>
      <c r="U418" s="296">
        <f t="shared" si="254"/>
        <v>0</v>
      </c>
      <c r="V418" s="296">
        <f t="shared" si="254"/>
        <v>0</v>
      </c>
      <c r="W418" s="398">
        <f t="shared" si="254"/>
        <v>7527551.7899999991</v>
      </c>
      <c r="X418" s="320"/>
      <c r="Y418" s="320"/>
      <c r="Z418" s="353"/>
      <c r="AA418" s="296">
        <f>AA419+AA420+AA421+AA426+AA436+AA445+AA431</f>
        <v>558240.53999999992</v>
      </c>
      <c r="AB418" s="296">
        <f t="shared" ref="AB418" si="255">AB419+AB420+AB421+AB426+AB436+AB445+AB431</f>
        <v>9823435.6499999985</v>
      </c>
    </row>
    <row r="419" spans="1:28" x14ac:dyDescent="0.2">
      <c r="A419" s="12" t="s">
        <v>43</v>
      </c>
      <c r="B419" s="154" t="s">
        <v>131</v>
      </c>
      <c r="C419" s="14" t="s">
        <v>302</v>
      </c>
      <c r="D419" s="36" t="s">
        <v>459</v>
      </c>
      <c r="E419" s="15" t="s">
        <v>44</v>
      </c>
      <c r="F419" s="14" t="s">
        <v>45</v>
      </c>
      <c r="G419" s="14"/>
      <c r="H419" s="37">
        <v>110100</v>
      </c>
      <c r="I419" s="37">
        <f>SUM(J419:M419)</f>
        <v>0</v>
      </c>
      <c r="J419" s="37"/>
      <c r="K419" s="38"/>
      <c r="L419" s="38"/>
      <c r="M419" s="38"/>
      <c r="N419" s="39">
        <f>H419+I419</f>
        <v>110100</v>
      </c>
      <c r="O419" s="37">
        <f>110100*80%</f>
        <v>88080</v>
      </c>
      <c r="P419" s="60">
        <v>158901.44</v>
      </c>
      <c r="Q419" s="37">
        <f>R419+S419+T419+U419+V419</f>
        <v>0</v>
      </c>
      <c r="R419" s="37"/>
      <c r="S419" s="37"/>
      <c r="T419" s="37"/>
      <c r="U419" s="37"/>
      <c r="V419" s="37"/>
      <c r="W419" s="183">
        <v>158901.44</v>
      </c>
      <c r="X419" s="320"/>
      <c r="Y419" s="320"/>
      <c r="Z419" s="353"/>
      <c r="AA419" s="37">
        <v>0</v>
      </c>
      <c r="AB419" s="37">
        <v>158901.44</v>
      </c>
    </row>
    <row r="420" spans="1:28" x14ac:dyDescent="0.2">
      <c r="A420" s="12" t="s">
        <v>43</v>
      </c>
      <c r="B420" s="154" t="s">
        <v>131</v>
      </c>
      <c r="C420" s="14" t="s">
        <v>302</v>
      </c>
      <c r="D420" s="36" t="s">
        <v>459</v>
      </c>
      <c r="E420" s="15" t="s">
        <v>46</v>
      </c>
      <c r="F420" s="14" t="s">
        <v>45</v>
      </c>
      <c r="G420" s="14"/>
      <c r="H420" s="37">
        <v>1000</v>
      </c>
      <c r="I420" s="37">
        <f>SUM(J420:M420)</f>
        <v>0</v>
      </c>
      <c r="J420" s="37"/>
      <c r="K420" s="38"/>
      <c r="L420" s="38"/>
      <c r="M420" s="38"/>
      <c r="N420" s="39">
        <f>H420+I420</f>
        <v>1000</v>
      </c>
      <c r="O420" s="37">
        <f>1000*80%</f>
        <v>800</v>
      </c>
      <c r="P420" s="60">
        <v>1000</v>
      </c>
      <c r="Q420" s="37">
        <f>R420+S420+T420+U420+V420</f>
        <v>0</v>
      </c>
      <c r="R420" s="37"/>
      <c r="S420" s="37"/>
      <c r="T420" s="37"/>
      <c r="U420" s="37"/>
      <c r="V420" s="37"/>
      <c r="W420" s="183">
        <v>1000</v>
      </c>
      <c r="X420" s="320"/>
      <c r="Y420" s="320"/>
      <c r="Z420" s="353"/>
      <c r="AA420" s="37"/>
      <c r="AB420" s="37">
        <v>1000</v>
      </c>
    </row>
    <row r="421" spans="1:28" s="58" customFormat="1" x14ac:dyDescent="0.2">
      <c r="A421" s="54" t="s">
        <v>47</v>
      </c>
      <c r="B421" s="90" t="s">
        <v>131</v>
      </c>
      <c r="C421" s="49" t="s">
        <v>302</v>
      </c>
      <c r="D421" s="150" t="s">
        <v>18</v>
      </c>
      <c r="E421" s="50" t="s">
        <v>19</v>
      </c>
      <c r="F421" s="49" t="s">
        <v>48</v>
      </c>
      <c r="G421" s="49"/>
      <c r="H421" s="51">
        <f>SUM(H422:H424)</f>
        <v>360000</v>
      </c>
      <c r="I421" s="51">
        <f t="shared" ref="I421:N421" si="256">SUM(I422:I424)</f>
        <v>50000</v>
      </c>
      <c r="J421" s="51">
        <f t="shared" si="256"/>
        <v>0</v>
      </c>
      <c r="K421" s="51">
        <f t="shared" si="256"/>
        <v>0</v>
      </c>
      <c r="L421" s="51">
        <f t="shared" si="256"/>
        <v>0</v>
      </c>
      <c r="M421" s="51">
        <f t="shared" si="256"/>
        <v>50000</v>
      </c>
      <c r="N421" s="51">
        <f t="shared" si="256"/>
        <v>410000</v>
      </c>
      <c r="O421" s="51">
        <f>SUM(O422:O424)</f>
        <v>288000</v>
      </c>
      <c r="P421" s="282">
        <f>SUM(P422:P425)</f>
        <v>279080</v>
      </c>
      <c r="Q421" s="282">
        <f t="shared" ref="Q421:W421" si="257">SUM(Q422:Q425)</f>
        <v>-15000</v>
      </c>
      <c r="R421" s="282">
        <f t="shared" si="257"/>
        <v>-15000</v>
      </c>
      <c r="S421" s="282">
        <f t="shared" si="257"/>
        <v>0</v>
      </c>
      <c r="T421" s="282">
        <f t="shared" si="257"/>
        <v>0</v>
      </c>
      <c r="U421" s="282">
        <f t="shared" si="257"/>
        <v>0</v>
      </c>
      <c r="V421" s="282">
        <f t="shared" si="257"/>
        <v>0</v>
      </c>
      <c r="W421" s="397">
        <f t="shared" si="257"/>
        <v>148196.13</v>
      </c>
      <c r="X421" s="321"/>
      <c r="Y421" s="321"/>
      <c r="Z421" s="356"/>
      <c r="AA421" s="282">
        <f>SUM(AA422:AA425)</f>
        <v>0</v>
      </c>
      <c r="AB421" s="282">
        <f t="shared" ref="AB421" si="258">SUM(AB422:AB425)</f>
        <v>264080</v>
      </c>
    </row>
    <row r="422" spans="1:28" s="80" customFormat="1" ht="25.5" hidden="1" x14ac:dyDescent="0.2">
      <c r="A422" s="133" t="s">
        <v>177</v>
      </c>
      <c r="B422" s="214"/>
      <c r="C422" s="36"/>
      <c r="D422" s="36" t="s">
        <v>459</v>
      </c>
      <c r="E422" s="77" t="s">
        <v>283</v>
      </c>
      <c r="F422" s="36"/>
      <c r="G422" s="36" t="s">
        <v>49</v>
      </c>
      <c r="H422" s="78">
        <v>60000</v>
      </c>
      <c r="I422" s="37">
        <f>SUM(J422:M422)</f>
        <v>700</v>
      </c>
      <c r="J422" s="78">
        <v>700</v>
      </c>
      <c r="K422" s="79"/>
      <c r="L422" s="79"/>
      <c r="M422" s="79"/>
      <c r="N422" s="39">
        <f>H422+I422</f>
        <v>60700</v>
      </c>
      <c r="O422" s="78">
        <f>60000*80%</f>
        <v>48000</v>
      </c>
      <c r="P422" s="294">
        <v>0</v>
      </c>
      <c r="Q422" s="78">
        <f>R422+S422+T422+U422+V422</f>
        <v>0</v>
      </c>
      <c r="R422" s="78"/>
      <c r="S422" s="78"/>
      <c r="T422" s="78"/>
      <c r="U422" s="78"/>
      <c r="V422" s="78"/>
      <c r="W422" s="183">
        <f>P422+Q422</f>
        <v>0</v>
      </c>
      <c r="X422" s="322"/>
      <c r="Y422" s="322"/>
      <c r="Z422" s="357"/>
      <c r="AA422" s="78">
        <v>0</v>
      </c>
      <c r="AB422" s="37">
        <f>U422+V422</f>
        <v>0</v>
      </c>
    </row>
    <row r="423" spans="1:28" ht="25.5" hidden="1" x14ac:dyDescent="0.2">
      <c r="A423" s="44" t="s">
        <v>177</v>
      </c>
      <c r="B423" s="45"/>
      <c r="C423" s="14"/>
      <c r="D423" s="36" t="s">
        <v>305</v>
      </c>
      <c r="E423" s="15" t="s">
        <v>46</v>
      </c>
      <c r="F423" s="14"/>
      <c r="G423" s="14" t="s">
        <v>38</v>
      </c>
      <c r="H423" s="37">
        <v>0</v>
      </c>
      <c r="I423" s="37">
        <f>SUM(J423:M423)</f>
        <v>-700</v>
      </c>
      <c r="J423" s="37">
        <v>-700</v>
      </c>
      <c r="K423" s="38"/>
      <c r="L423" s="38"/>
      <c r="M423" s="38"/>
      <c r="N423" s="39">
        <f>H423+I423</f>
        <v>-700</v>
      </c>
      <c r="O423" s="37">
        <v>0</v>
      </c>
      <c r="P423" s="60">
        <v>0</v>
      </c>
      <c r="Q423" s="78">
        <f>R423+S423+T423+U423</f>
        <v>0</v>
      </c>
      <c r="R423" s="37"/>
      <c r="S423" s="37"/>
      <c r="T423" s="37"/>
      <c r="U423" s="37"/>
      <c r="V423" s="37"/>
      <c r="W423" s="183">
        <f>P423+Q423</f>
        <v>0</v>
      </c>
      <c r="X423" s="320"/>
      <c r="Y423" s="320"/>
      <c r="Z423" s="353"/>
      <c r="AA423" s="37"/>
      <c r="AB423" s="37">
        <f>U423+V423</f>
        <v>0</v>
      </c>
    </row>
    <row r="424" spans="1:28" ht="38.25" x14ac:dyDescent="0.2">
      <c r="A424" s="12" t="s">
        <v>132</v>
      </c>
      <c r="B424" s="13"/>
      <c r="C424" s="14"/>
      <c r="D424" s="36" t="s">
        <v>459</v>
      </c>
      <c r="E424" s="15" t="s">
        <v>46</v>
      </c>
      <c r="F424" s="14"/>
      <c r="G424" s="14" t="s">
        <v>49</v>
      </c>
      <c r="H424" s="37">
        <v>300000</v>
      </c>
      <c r="I424" s="37">
        <f>SUM(J424:M424)</f>
        <v>50000</v>
      </c>
      <c r="J424" s="37"/>
      <c r="K424" s="38"/>
      <c r="L424" s="38"/>
      <c r="M424" s="38">
        <v>50000</v>
      </c>
      <c r="N424" s="39">
        <f>H424+I424</f>
        <v>350000</v>
      </c>
      <c r="O424" s="37">
        <f>300000*80%</f>
        <v>240000</v>
      </c>
      <c r="P424" s="60">
        <v>279080</v>
      </c>
      <c r="Q424" s="78">
        <f>R424+S424+T424+U424+V424</f>
        <v>-15000</v>
      </c>
      <c r="R424" s="37">
        <v>-15000</v>
      </c>
      <c r="S424" s="37"/>
      <c r="T424" s="37"/>
      <c r="U424" s="37"/>
      <c r="V424" s="37"/>
      <c r="W424" s="183">
        <f>264080-115883.87</f>
        <v>148196.13</v>
      </c>
      <c r="X424" s="320">
        <f>264080-W424</f>
        <v>115883.87</v>
      </c>
      <c r="Y424" s="320"/>
      <c r="Z424" s="353"/>
      <c r="AA424" s="37"/>
      <c r="AB424" s="37">
        <v>264080</v>
      </c>
    </row>
    <row r="425" spans="1:28" ht="38.25" hidden="1" x14ac:dyDescent="0.2">
      <c r="A425" s="12" t="s">
        <v>132</v>
      </c>
      <c r="B425" s="13"/>
      <c r="C425" s="14"/>
      <c r="D425" s="14" t="s">
        <v>460</v>
      </c>
      <c r="E425" s="15" t="s">
        <v>46</v>
      </c>
      <c r="F425" s="14"/>
      <c r="G425" s="14" t="s">
        <v>49</v>
      </c>
      <c r="H425" s="37"/>
      <c r="I425" s="37"/>
      <c r="J425" s="37"/>
      <c r="K425" s="38"/>
      <c r="L425" s="38"/>
      <c r="M425" s="38"/>
      <c r="N425" s="39"/>
      <c r="O425" s="37"/>
      <c r="P425" s="291">
        <v>0</v>
      </c>
      <c r="Q425" s="78">
        <f>R425+S425+T425+U425</f>
        <v>0</v>
      </c>
      <c r="R425" s="37"/>
      <c r="S425" s="37"/>
      <c r="T425" s="37"/>
      <c r="U425" s="37">
        <v>0</v>
      </c>
      <c r="V425" s="37"/>
      <c r="W425" s="183">
        <f>P425+Q425</f>
        <v>0</v>
      </c>
      <c r="X425" s="320"/>
      <c r="Y425" s="320"/>
      <c r="Z425" s="353"/>
      <c r="AA425" s="37"/>
      <c r="AB425" s="37">
        <f>U425+V425</f>
        <v>0</v>
      </c>
    </row>
    <row r="426" spans="1:28" s="58" customFormat="1" x14ac:dyDescent="0.2">
      <c r="A426" s="54" t="s">
        <v>87</v>
      </c>
      <c r="B426" s="90" t="s">
        <v>131</v>
      </c>
      <c r="C426" s="49" t="s">
        <v>302</v>
      </c>
      <c r="D426" s="49" t="s">
        <v>459</v>
      </c>
      <c r="E426" s="50" t="s">
        <v>46</v>
      </c>
      <c r="F426" s="49" t="s">
        <v>88</v>
      </c>
      <c r="G426" s="49"/>
      <c r="H426" s="51">
        <f t="shared" ref="H426:N426" si="259">SUM(H427:H430)</f>
        <v>2530399.4799999995</v>
      </c>
      <c r="I426" s="51">
        <f t="shared" si="259"/>
        <v>600000</v>
      </c>
      <c r="J426" s="51">
        <f t="shared" si="259"/>
        <v>0</v>
      </c>
      <c r="K426" s="52">
        <f t="shared" si="259"/>
        <v>0</v>
      </c>
      <c r="L426" s="52">
        <f t="shared" si="259"/>
        <v>0</v>
      </c>
      <c r="M426" s="52">
        <f t="shared" si="259"/>
        <v>600000</v>
      </c>
      <c r="N426" s="53">
        <f t="shared" si="259"/>
        <v>3130399.4799999995</v>
      </c>
      <c r="O426" s="51">
        <f>SUM(O427:O430)</f>
        <v>2530399.4799999995</v>
      </c>
      <c r="P426" s="282">
        <f>SUM(P427:P430)</f>
        <v>3669826.25</v>
      </c>
      <c r="Q426" s="282">
        <f t="shared" ref="Q426:V426" si="260">SUM(Q427:Q430)</f>
        <v>-377356.86999999988</v>
      </c>
      <c r="R426" s="282">
        <f t="shared" si="260"/>
        <v>-1684878.64</v>
      </c>
      <c r="S426" s="282">
        <f t="shared" si="260"/>
        <v>1307521.77</v>
      </c>
      <c r="T426" s="282">
        <f t="shared" si="260"/>
        <v>0</v>
      </c>
      <c r="U426" s="282">
        <f t="shared" si="260"/>
        <v>0</v>
      </c>
      <c r="V426" s="282">
        <f t="shared" si="260"/>
        <v>0</v>
      </c>
      <c r="W426" s="397">
        <f>SUM(W427:W430)</f>
        <v>2292469.38</v>
      </c>
      <c r="X426" s="321"/>
      <c r="Y426" s="321"/>
      <c r="Z426" s="356"/>
      <c r="AA426" s="282">
        <f>SUM(AA427:AA430)</f>
        <v>558240.53999999992</v>
      </c>
      <c r="AB426" s="282">
        <f t="shared" ref="AB426" si="261">SUM(AB427:AB430)</f>
        <v>3292469.38</v>
      </c>
    </row>
    <row r="427" spans="1:28" x14ac:dyDescent="0.2">
      <c r="A427" s="46" t="s">
        <v>307</v>
      </c>
      <c r="B427" s="47"/>
      <c r="C427" s="14"/>
      <c r="D427" s="14"/>
      <c r="E427" s="15"/>
      <c r="F427" s="14"/>
      <c r="G427" s="14" t="s">
        <v>90</v>
      </c>
      <c r="H427" s="37">
        <v>2174936.36</v>
      </c>
      <c r="I427" s="37">
        <f>SUM(J427:M427)</f>
        <v>500000</v>
      </c>
      <c r="J427" s="37">
        <v>0</v>
      </c>
      <c r="K427" s="37">
        <v>0</v>
      </c>
      <c r="L427" s="37">
        <v>0</v>
      </c>
      <c r="M427" s="37">
        <v>500000</v>
      </c>
      <c r="N427" s="39">
        <f>H427+I427</f>
        <v>2674936.36</v>
      </c>
      <c r="O427" s="37">
        <v>2174936.36</v>
      </c>
      <c r="P427" s="60">
        <v>3348884.6</v>
      </c>
      <c r="Q427" s="37">
        <f>R427+S427+T427+U427+V427</f>
        <v>-377356.86999999988</v>
      </c>
      <c r="R427" s="37">
        <v>-1684878.64</v>
      </c>
      <c r="S427" s="37">
        <v>1307521.77</v>
      </c>
      <c r="T427" s="37"/>
      <c r="U427" s="37"/>
      <c r="V427" s="37"/>
      <c r="W427" s="183">
        <f>2971527.73-1000000</f>
        <v>1971527.73</v>
      </c>
      <c r="X427" s="320">
        <f>1664005.96-W427</f>
        <v>-307521.77</v>
      </c>
      <c r="Y427" s="320"/>
      <c r="Z427" s="353"/>
      <c r="AA427" s="37">
        <v>434683.61</v>
      </c>
      <c r="AB427" s="37">
        <v>2971527.73</v>
      </c>
    </row>
    <row r="428" spans="1:28" x14ac:dyDescent="0.2">
      <c r="A428" s="46" t="s">
        <v>308</v>
      </c>
      <c r="B428" s="47"/>
      <c r="C428" s="14"/>
      <c r="D428" s="14"/>
      <c r="E428" s="15"/>
      <c r="F428" s="14"/>
      <c r="G428" s="14" t="s">
        <v>139</v>
      </c>
      <c r="H428" s="37">
        <v>302614.8</v>
      </c>
      <c r="I428" s="37">
        <f>SUM(J428:M428)</f>
        <v>100000</v>
      </c>
      <c r="J428" s="37">
        <v>0</v>
      </c>
      <c r="K428" s="38"/>
      <c r="L428" s="38"/>
      <c r="M428" s="38">
        <v>100000</v>
      </c>
      <c r="N428" s="39">
        <f>H428+I428</f>
        <v>402614.8</v>
      </c>
      <c r="O428" s="37">
        <v>302614.8</v>
      </c>
      <c r="P428" s="60">
        <v>239143.4</v>
      </c>
      <c r="Q428" s="37">
        <f>R428+S428+T428+U428+V428</f>
        <v>0</v>
      </c>
      <c r="R428" s="37"/>
      <c r="S428" s="37"/>
      <c r="T428" s="37"/>
      <c r="U428" s="37"/>
      <c r="V428" s="37"/>
      <c r="W428" s="183">
        <v>239143.4</v>
      </c>
      <c r="X428" s="320"/>
      <c r="Y428" s="320"/>
      <c r="Z428" s="353"/>
      <c r="AA428" s="37">
        <v>76867.02</v>
      </c>
      <c r="AB428" s="37">
        <v>239143.4</v>
      </c>
    </row>
    <row r="429" spans="1:28" ht="25.5" x14ac:dyDescent="0.2">
      <c r="A429" s="46" t="s">
        <v>93</v>
      </c>
      <c r="B429" s="47"/>
      <c r="C429" s="14"/>
      <c r="D429" s="14"/>
      <c r="E429" s="15"/>
      <c r="F429" s="14"/>
      <c r="G429" s="14" t="s">
        <v>140</v>
      </c>
      <c r="H429" s="37">
        <f>10587.92+30111.12</f>
        <v>40699.040000000001</v>
      </c>
      <c r="I429" s="37">
        <f>SUM(J429:M429)</f>
        <v>0</v>
      </c>
      <c r="J429" s="37"/>
      <c r="K429" s="38"/>
      <c r="L429" s="38"/>
      <c r="M429" s="38"/>
      <c r="N429" s="39">
        <f>H429+I429</f>
        <v>40699.040000000001</v>
      </c>
      <c r="O429" s="37">
        <f>10587.92+30111.12</f>
        <v>40699.040000000001</v>
      </c>
      <c r="P429" s="60">
        <v>55514.99</v>
      </c>
      <c r="Q429" s="37">
        <f>R429+S429+T429+U429+V429</f>
        <v>0</v>
      </c>
      <c r="R429" s="37"/>
      <c r="S429" s="37"/>
      <c r="T429" s="37"/>
      <c r="U429" s="37"/>
      <c r="V429" s="37"/>
      <c r="W429" s="183">
        <v>55514.99</v>
      </c>
      <c r="X429" s="320"/>
      <c r="Y429" s="320"/>
      <c r="Z429" s="353"/>
      <c r="AA429" s="37">
        <v>31554.71</v>
      </c>
      <c r="AB429" s="37">
        <v>55514.99</v>
      </c>
    </row>
    <row r="430" spans="1:28" x14ac:dyDescent="0.2">
      <c r="A430" s="46" t="s">
        <v>95</v>
      </c>
      <c r="B430" s="47"/>
      <c r="C430" s="14"/>
      <c r="D430" s="14"/>
      <c r="E430" s="15"/>
      <c r="F430" s="14"/>
      <c r="G430" s="14" t="s">
        <v>96</v>
      </c>
      <c r="H430" s="37">
        <v>12149.28</v>
      </c>
      <c r="I430" s="37">
        <f>SUM(J430:M430)</f>
        <v>0</v>
      </c>
      <c r="J430" s="37"/>
      <c r="K430" s="38"/>
      <c r="L430" s="38"/>
      <c r="M430" s="38"/>
      <c r="N430" s="39">
        <f>H430+I430</f>
        <v>12149.28</v>
      </c>
      <c r="O430" s="37">
        <v>12149.28</v>
      </c>
      <c r="P430" s="60">
        <v>26283.26</v>
      </c>
      <c r="Q430" s="37">
        <f>R430+S430+T430+U430+V430</f>
        <v>0</v>
      </c>
      <c r="R430" s="37"/>
      <c r="S430" s="37"/>
      <c r="T430" s="37"/>
      <c r="U430" s="37"/>
      <c r="V430" s="37"/>
      <c r="W430" s="183">
        <v>26283.26</v>
      </c>
      <c r="X430" s="320"/>
      <c r="Y430" s="320"/>
      <c r="Z430" s="353"/>
      <c r="AA430" s="37">
        <v>15135.2</v>
      </c>
      <c r="AB430" s="37">
        <v>26283.26</v>
      </c>
    </row>
    <row r="431" spans="1:28" s="58" customFormat="1" ht="25.5" x14ac:dyDescent="0.2">
      <c r="A431" s="54" t="s">
        <v>309</v>
      </c>
      <c r="B431" s="90" t="s">
        <v>131</v>
      </c>
      <c r="C431" s="49" t="s">
        <v>302</v>
      </c>
      <c r="D431" s="49" t="s">
        <v>428</v>
      </c>
      <c r="E431" s="50" t="s">
        <v>46</v>
      </c>
      <c r="F431" s="49" t="s">
        <v>88</v>
      </c>
      <c r="G431" s="49"/>
      <c r="H431" s="51">
        <f t="shared" ref="H431:N431" si="262">SUM(H432:H435)</f>
        <v>0</v>
      </c>
      <c r="I431" s="51">
        <f t="shared" si="262"/>
        <v>0</v>
      </c>
      <c r="J431" s="51">
        <f t="shared" si="262"/>
        <v>0</v>
      </c>
      <c r="K431" s="52">
        <f>SUM(K432:K435)</f>
        <v>0</v>
      </c>
      <c r="L431" s="52">
        <f t="shared" si="262"/>
        <v>0</v>
      </c>
      <c r="M431" s="52">
        <f t="shared" si="262"/>
        <v>0</v>
      </c>
      <c r="N431" s="53">
        <f t="shared" si="262"/>
        <v>0</v>
      </c>
      <c r="O431" s="51">
        <f>SUM(O432:O435)</f>
        <v>0</v>
      </c>
      <c r="P431" s="282">
        <f>SUM(P432:P435)</f>
        <v>4241444.53</v>
      </c>
      <c r="Q431" s="282">
        <f t="shared" ref="Q431:V431" si="263">SUM(Q432:Q435)</f>
        <v>0</v>
      </c>
      <c r="R431" s="282">
        <f t="shared" si="263"/>
        <v>0</v>
      </c>
      <c r="S431" s="282">
        <f t="shared" si="263"/>
        <v>0</v>
      </c>
      <c r="T431" s="282">
        <f t="shared" si="263"/>
        <v>0</v>
      </c>
      <c r="U431" s="282">
        <f t="shared" si="263"/>
        <v>0</v>
      </c>
      <c r="V431" s="282">
        <f t="shared" si="263"/>
        <v>0</v>
      </c>
      <c r="W431" s="397">
        <f>SUM(W432:W435)</f>
        <v>3272451.07</v>
      </c>
      <c r="X431" s="321"/>
      <c r="Y431" s="321"/>
      <c r="Z431" s="356"/>
      <c r="AA431" s="282">
        <f>SUM(AA432:AA435)</f>
        <v>0</v>
      </c>
      <c r="AB431" s="282">
        <f t="shared" ref="AB431" si="264">SUM(AB432:AB435)</f>
        <v>3272451.07</v>
      </c>
    </row>
    <row r="432" spans="1:28" x14ac:dyDescent="0.2">
      <c r="A432" s="46" t="s">
        <v>307</v>
      </c>
      <c r="B432" s="47"/>
      <c r="C432" s="14"/>
      <c r="D432" s="14"/>
      <c r="E432" s="15"/>
      <c r="F432" s="14"/>
      <c r="G432" s="14" t="s">
        <v>90</v>
      </c>
      <c r="H432" s="37"/>
      <c r="I432" s="37">
        <f>SUM(J432:M432)</f>
        <v>0</v>
      </c>
      <c r="J432" s="37">
        <v>0</v>
      </c>
      <c r="K432" s="37">
        <v>0</v>
      </c>
      <c r="L432" s="37">
        <v>0</v>
      </c>
      <c r="M432" s="37">
        <v>0</v>
      </c>
      <c r="N432" s="39">
        <f>H432+I432</f>
        <v>0</v>
      </c>
      <c r="O432" s="37"/>
      <c r="P432" s="60">
        <v>3832981.09</v>
      </c>
      <c r="Q432" s="37">
        <f>R432+S432+T432+U432+V432</f>
        <v>0</v>
      </c>
      <c r="R432" s="37"/>
      <c r="S432" s="37"/>
      <c r="T432" s="37"/>
      <c r="U432" s="37"/>
      <c r="V432" s="37"/>
      <c r="W432" s="183">
        <v>2845885.03</v>
      </c>
      <c r="X432" s="320"/>
      <c r="Y432" s="320"/>
      <c r="Z432" s="353"/>
      <c r="AA432" s="37"/>
      <c r="AB432" s="37">
        <v>2845885.03</v>
      </c>
    </row>
    <row r="433" spans="1:28" x14ac:dyDescent="0.2">
      <c r="A433" s="46" t="s">
        <v>308</v>
      </c>
      <c r="B433" s="47"/>
      <c r="C433" s="14"/>
      <c r="D433" s="14"/>
      <c r="E433" s="15"/>
      <c r="F433" s="14"/>
      <c r="G433" s="14" t="s">
        <v>139</v>
      </c>
      <c r="H433" s="37"/>
      <c r="I433" s="37">
        <f>SUM(J433:M433)</f>
        <v>0</v>
      </c>
      <c r="J433" s="37">
        <v>0</v>
      </c>
      <c r="K433" s="38">
        <v>0</v>
      </c>
      <c r="L433" s="38">
        <v>0</v>
      </c>
      <c r="M433" s="38">
        <v>0</v>
      </c>
      <c r="N433" s="39">
        <f>H433+I433</f>
        <v>0</v>
      </c>
      <c r="O433" s="37"/>
      <c r="P433" s="60">
        <v>302237.32</v>
      </c>
      <c r="Q433" s="37">
        <f>R433+S433+T433+U433+V433</f>
        <v>0</v>
      </c>
      <c r="R433" s="37"/>
      <c r="S433" s="37"/>
      <c r="T433" s="37"/>
      <c r="U433" s="37"/>
      <c r="V433" s="37"/>
      <c r="W433" s="183">
        <v>328649.7</v>
      </c>
      <c r="X433" s="320"/>
      <c r="Y433" s="320"/>
      <c r="Z433" s="353"/>
      <c r="AA433" s="37"/>
      <c r="AB433" s="37">
        <v>328649.7</v>
      </c>
    </row>
    <row r="434" spans="1:28" ht="25.5" x14ac:dyDescent="0.2">
      <c r="A434" s="46" t="s">
        <v>93</v>
      </c>
      <c r="B434" s="47"/>
      <c r="C434" s="14"/>
      <c r="D434" s="14"/>
      <c r="E434" s="15"/>
      <c r="F434" s="14"/>
      <c r="G434" s="14" t="s">
        <v>140</v>
      </c>
      <c r="H434" s="37"/>
      <c r="I434" s="37">
        <f>SUM(J434:M434)</f>
        <v>0</v>
      </c>
      <c r="J434" s="37">
        <v>0</v>
      </c>
      <c r="K434" s="38">
        <v>0</v>
      </c>
      <c r="L434" s="38">
        <v>0</v>
      </c>
      <c r="M434" s="38">
        <v>0</v>
      </c>
      <c r="N434" s="39">
        <f>H434+I434</f>
        <v>0</v>
      </c>
      <c r="O434" s="37"/>
      <c r="P434" s="60">
        <v>75288.42</v>
      </c>
      <c r="Q434" s="37">
        <f>R434+S434+T434+U434+V434</f>
        <v>0</v>
      </c>
      <c r="R434" s="37"/>
      <c r="S434" s="37"/>
      <c r="T434" s="37"/>
      <c r="U434" s="37"/>
      <c r="V434" s="37"/>
      <c r="W434" s="183">
        <v>72476.31</v>
      </c>
      <c r="X434" s="320"/>
      <c r="Y434" s="320"/>
      <c r="Z434" s="353"/>
      <c r="AA434" s="37"/>
      <c r="AB434" s="37">
        <v>72476.31</v>
      </c>
    </row>
    <row r="435" spans="1:28" x14ac:dyDescent="0.2">
      <c r="A435" s="46" t="s">
        <v>95</v>
      </c>
      <c r="B435" s="47"/>
      <c r="C435" s="14"/>
      <c r="D435" s="14"/>
      <c r="E435" s="15"/>
      <c r="F435" s="14"/>
      <c r="G435" s="14" t="s">
        <v>96</v>
      </c>
      <c r="H435" s="37"/>
      <c r="I435" s="37">
        <f>SUM(J435:M435)</f>
        <v>0</v>
      </c>
      <c r="J435" s="37">
        <v>0</v>
      </c>
      <c r="K435" s="38">
        <v>0</v>
      </c>
      <c r="L435" s="38">
        <v>0</v>
      </c>
      <c r="M435" s="38">
        <v>0</v>
      </c>
      <c r="N435" s="39">
        <f>H435+I435</f>
        <v>0</v>
      </c>
      <c r="O435" s="37"/>
      <c r="P435" s="60">
        <v>30937.7</v>
      </c>
      <c r="Q435" s="37">
        <f>R435+S435+T435+U435+V435</f>
        <v>0</v>
      </c>
      <c r="R435" s="37"/>
      <c r="S435" s="37"/>
      <c r="T435" s="37"/>
      <c r="U435" s="37"/>
      <c r="V435" s="37"/>
      <c r="W435" s="183">
        <v>25440.03</v>
      </c>
      <c r="X435" s="320"/>
      <c r="Y435" s="320"/>
      <c r="Z435" s="353"/>
      <c r="AA435" s="37"/>
      <c r="AB435" s="37">
        <v>25440.03</v>
      </c>
    </row>
    <row r="436" spans="1:28" s="58" customFormat="1" x14ac:dyDescent="0.2">
      <c r="A436" s="54" t="s">
        <v>50</v>
      </c>
      <c r="B436" s="90" t="s">
        <v>131</v>
      </c>
      <c r="C436" s="49" t="s">
        <v>302</v>
      </c>
      <c r="D436" s="150" t="s">
        <v>18</v>
      </c>
      <c r="E436" s="50" t="s">
        <v>19</v>
      </c>
      <c r="F436" s="49" t="s">
        <v>51</v>
      </c>
      <c r="G436" s="49"/>
      <c r="H436" s="51">
        <f t="shared" ref="H436:N436" si="265">SUM(H437:H441)</f>
        <v>724373.72</v>
      </c>
      <c r="I436" s="51">
        <f t="shared" si="265"/>
        <v>187735.83000000002</v>
      </c>
      <c r="J436" s="51">
        <f t="shared" si="265"/>
        <v>44735.83</v>
      </c>
      <c r="K436" s="52">
        <f t="shared" si="265"/>
        <v>0</v>
      </c>
      <c r="L436" s="52">
        <f t="shared" si="265"/>
        <v>143000</v>
      </c>
      <c r="M436" s="52">
        <f t="shared" si="265"/>
        <v>0</v>
      </c>
      <c r="N436" s="53">
        <f t="shared" si="265"/>
        <v>817364.13</v>
      </c>
      <c r="O436" s="51">
        <f>SUM(O437:O441)</f>
        <v>680586.81599999999</v>
      </c>
      <c r="P436" s="282">
        <f t="shared" ref="P436:V436" si="266">SUM(P438:P444)</f>
        <v>3179684.13</v>
      </c>
      <c r="Q436" s="282">
        <f t="shared" si="266"/>
        <v>19844.379999999997</v>
      </c>
      <c r="R436" s="282">
        <f t="shared" si="266"/>
        <v>19844.379999999997</v>
      </c>
      <c r="S436" s="282">
        <f t="shared" si="266"/>
        <v>0</v>
      </c>
      <c r="T436" s="282">
        <f t="shared" si="266"/>
        <v>0</v>
      </c>
      <c r="U436" s="282">
        <f t="shared" si="266"/>
        <v>0</v>
      </c>
      <c r="V436" s="282">
        <f t="shared" si="266"/>
        <v>0</v>
      </c>
      <c r="W436" s="397">
        <f>SUM(W438:W444)</f>
        <v>1222289.04</v>
      </c>
      <c r="X436" s="321"/>
      <c r="Y436" s="321"/>
      <c r="Z436" s="356"/>
      <c r="AA436" s="282">
        <f>SUM(AA438:AA444)</f>
        <v>0</v>
      </c>
      <c r="AB436" s="282">
        <f t="shared" ref="AB436" si="267">SUM(AB438:AB444)</f>
        <v>1772289.04</v>
      </c>
    </row>
    <row r="437" spans="1:28" hidden="1" x14ac:dyDescent="0.2">
      <c r="A437" s="12" t="s">
        <v>97</v>
      </c>
      <c r="B437" s="13"/>
      <c r="C437" s="14"/>
      <c r="D437" s="14"/>
      <c r="E437" s="15" t="s">
        <v>46</v>
      </c>
      <c r="F437" s="14"/>
      <c r="G437" s="14" t="s">
        <v>56</v>
      </c>
      <c r="H437" s="37">
        <v>0</v>
      </c>
      <c r="I437" s="37">
        <f>SUM(J437:M437)</f>
        <v>143000</v>
      </c>
      <c r="J437" s="37"/>
      <c r="K437" s="38"/>
      <c r="L437" s="38">
        <v>143000</v>
      </c>
      <c r="M437" s="38">
        <v>0</v>
      </c>
      <c r="N437" s="39">
        <f>H437+I437</f>
        <v>143000</v>
      </c>
      <c r="O437" s="37">
        <v>0</v>
      </c>
      <c r="P437" s="60">
        <v>0</v>
      </c>
      <c r="Q437" s="37"/>
      <c r="R437" s="37"/>
      <c r="S437" s="37"/>
      <c r="T437" s="37"/>
      <c r="U437" s="37"/>
      <c r="V437" s="37"/>
      <c r="W437" s="183"/>
      <c r="X437" s="320"/>
      <c r="Y437" s="320"/>
      <c r="Z437" s="353"/>
      <c r="AA437" s="37"/>
      <c r="AB437" s="37"/>
    </row>
    <row r="438" spans="1:28" x14ac:dyDescent="0.2">
      <c r="A438" s="12" t="s">
        <v>98</v>
      </c>
      <c r="B438" s="13"/>
      <c r="C438" s="14"/>
      <c r="D438" s="36" t="s">
        <v>459</v>
      </c>
      <c r="E438" s="15" t="s">
        <v>46</v>
      </c>
      <c r="F438" s="14"/>
      <c r="G438" s="14" t="s">
        <v>99</v>
      </c>
      <c r="H438" s="37">
        <v>69540</v>
      </c>
      <c r="I438" s="37">
        <f>SUM(J438:M438)</f>
        <v>4768</v>
      </c>
      <c r="J438" s="37">
        <v>4768</v>
      </c>
      <c r="K438" s="38"/>
      <c r="L438" s="38"/>
      <c r="M438" s="38"/>
      <c r="N438" s="39">
        <f>H438+I438</f>
        <v>74308</v>
      </c>
      <c r="O438" s="37">
        <f>69540*80%</f>
        <v>55632</v>
      </c>
      <c r="P438" s="60">
        <v>31611</v>
      </c>
      <c r="Q438" s="37">
        <f t="shared" ref="Q438:Q444" si="268">R438+S438+T438+U438+V438</f>
        <v>0</v>
      </c>
      <c r="R438" s="37"/>
      <c r="S438" s="37"/>
      <c r="T438" s="37"/>
      <c r="U438" s="37"/>
      <c r="V438" s="37"/>
      <c r="W438" s="183">
        <v>31611</v>
      </c>
      <c r="X438" s="320"/>
      <c r="Y438" s="320"/>
      <c r="Z438" s="353"/>
      <c r="AA438" s="37"/>
      <c r="AB438" s="37">
        <v>31611</v>
      </c>
    </row>
    <row r="439" spans="1:28" ht="25.5" x14ac:dyDescent="0.2">
      <c r="A439" s="46" t="s">
        <v>310</v>
      </c>
      <c r="B439" s="47"/>
      <c r="C439" s="14"/>
      <c r="D439" s="36" t="s">
        <v>459</v>
      </c>
      <c r="E439" s="15" t="s">
        <v>46</v>
      </c>
      <c r="F439" s="14"/>
      <c r="G439" s="14" t="s">
        <v>53</v>
      </c>
      <c r="H439" s="37">
        <v>54649.1</v>
      </c>
      <c r="I439" s="37">
        <f>SUM(J439:M439)</f>
        <v>0</v>
      </c>
      <c r="J439" s="37"/>
      <c r="K439" s="38"/>
      <c r="L439" s="38"/>
      <c r="M439" s="38"/>
      <c r="N439" s="39">
        <f>H439+I439</f>
        <v>54649.1</v>
      </c>
      <c r="O439" s="37">
        <f>54649.1*80%</f>
        <v>43719.28</v>
      </c>
      <c r="P439" s="60">
        <v>24340.69</v>
      </c>
      <c r="Q439" s="37">
        <f t="shared" si="268"/>
        <v>-5967.52</v>
      </c>
      <c r="R439" s="37">
        <v>-5967.52</v>
      </c>
      <c r="S439" s="37"/>
      <c r="T439" s="37"/>
      <c r="U439" s="37"/>
      <c r="V439" s="37"/>
      <c r="W439" s="183">
        <f>892217.37-400000-150000</f>
        <v>342217.37</v>
      </c>
      <c r="X439" s="320">
        <f>18373.17-W439</f>
        <v>-323844.2</v>
      </c>
      <c r="Y439" s="320"/>
      <c r="Z439" s="353"/>
      <c r="AA439" s="37"/>
      <c r="AB439" s="37">
        <v>892217.37</v>
      </c>
    </row>
    <row r="440" spans="1:28" x14ac:dyDescent="0.2">
      <c r="A440" s="46" t="s">
        <v>311</v>
      </c>
      <c r="B440" s="47"/>
      <c r="C440" s="14"/>
      <c r="D440" s="36" t="s">
        <v>459</v>
      </c>
      <c r="E440" s="15" t="s">
        <v>44</v>
      </c>
      <c r="F440" s="14"/>
      <c r="G440" s="14" t="s">
        <v>101</v>
      </c>
      <c r="H440" s="37">
        <v>94745.42</v>
      </c>
      <c r="I440" s="37"/>
      <c r="J440" s="37"/>
      <c r="K440" s="38"/>
      <c r="L440" s="38"/>
      <c r="M440" s="38"/>
      <c r="N440" s="39"/>
      <c r="O440" s="37">
        <f>94745.42*80%</f>
        <v>75796.335999999996</v>
      </c>
      <c r="P440" s="60">
        <v>53350.23</v>
      </c>
      <c r="Q440" s="37">
        <f t="shared" si="268"/>
        <v>14616.5</v>
      </c>
      <c r="R440" s="37">
        <v>14616.5</v>
      </c>
      <c r="S440" s="37"/>
      <c r="T440" s="37"/>
      <c r="U440" s="37"/>
      <c r="V440" s="37"/>
      <c r="W440" s="183">
        <v>67966.73</v>
      </c>
      <c r="X440" s="320">
        <f>67966.73-W440</f>
        <v>0</v>
      </c>
      <c r="Y440" s="320"/>
      <c r="Z440" s="353"/>
      <c r="AA440" s="37"/>
      <c r="AB440" s="37">
        <v>67966.73</v>
      </c>
    </row>
    <row r="441" spans="1:28" x14ac:dyDescent="0.2">
      <c r="A441" s="46" t="s">
        <v>288</v>
      </c>
      <c r="B441" s="47"/>
      <c r="C441" s="14"/>
      <c r="D441" s="36" t="s">
        <v>459</v>
      </c>
      <c r="E441" s="15" t="s">
        <v>46</v>
      </c>
      <c r="F441" s="14"/>
      <c r="G441" s="14" t="s">
        <v>101</v>
      </c>
      <c r="H441" s="37">
        <f>1010878.4/2</f>
        <v>505439.2</v>
      </c>
      <c r="I441" s="37">
        <f>SUM(J441:M441)</f>
        <v>39967.83</v>
      </c>
      <c r="J441" s="37">
        <v>39967.83</v>
      </c>
      <c r="K441" s="38"/>
      <c r="L441" s="38"/>
      <c r="M441" s="38"/>
      <c r="N441" s="39">
        <f>H441+I441</f>
        <v>545407.03</v>
      </c>
      <c r="O441" s="37">
        <f>1010878.4/2</f>
        <v>505439.2</v>
      </c>
      <c r="P441" s="60">
        <v>331971.62</v>
      </c>
      <c r="Q441" s="37">
        <f t="shared" si="268"/>
        <v>11195.4</v>
      </c>
      <c r="R441" s="37">
        <v>11195.4</v>
      </c>
      <c r="S441" s="37"/>
      <c r="T441" s="37"/>
      <c r="U441" s="37"/>
      <c r="V441" s="37"/>
      <c r="W441" s="183">
        <v>343167.02</v>
      </c>
      <c r="X441" s="320">
        <f>Y442-W441</f>
        <v>93634</v>
      </c>
      <c r="Y441" s="320"/>
      <c r="Z441" s="353"/>
      <c r="AA441" s="37"/>
      <c r="AB441" s="37">
        <v>343167.02</v>
      </c>
    </row>
    <row r="442" spans="1:28" ht="25.5" hidden="1" x14ac:dyDescent="0.2">
      <c r="A442" s="46" t="s">
        <v>515</v>
      </c>
      <c r="B442" s="47"/>
      <c r="C442" s="14"/>
      <c r="D442" s="36" t="s">
        <v>459</v>
      </c>
      <c r="E442" s="15" t="s">
        <v>46</v>
      </c>
      <c r="F442" s="14"/>
      <c r="G442" s="14" t="s">
        <v>101</v>
      </c>
      <c r="H442" s="37"/>
      <c r="I442" s="37"/>
      <c r="J442" s="37"/>
      <c r="K442" s="38"/>
      <c r="L442" s="38"/>
      <c r="M442" s="38"/>
      <c r="N442" s="39"/>
      <c r="O442" s="37"/>
      <c r="P442" s="60">
        <v>93634</v>
      </c>
      <c r="Q442" s="37">
        <f t="shared" si="268"/>
        <v>0</v>
      </c>
      <c r="R442" s="37"/>
      <c r="S442" s="37"/>
      <c r="T442" s="37"/>
      <c r="U442" s="37"/>
      <c r="V442" s="37"/>
      <c r="W442" s="183">
        <v>0</v>
      </c>
      <c r="X442" s="320"/>
      <c r="Y442" s="320">
        <f>436801.02-W442</f>
        <v>436801.02</v>
      </c>
      <c r="Z442" s="353"/>
      <c r="AA442" s="37"/>
      <c r="AB442" s="37">
        <v>0</v>
      </c>
    </row>
    <row r="443" spans="1:28" x14ac:dyDescent="0.2">
      <c r="A443" s="46" t="s">
        <v>288</v>
      </c>
      <c r="B443" s="47"/>
      <c r="C443" s="14"/>
      <c r="D443" s="36" t="s">
        <v>428</v>
      </c>
      <c r="E443" s="15" t="s">
        <v>46</v>
      </c>
      <c r="F443" s="14"/>
      <c r="G443" s="14" t="s">
        <v>101</v>
      </c>
      <c r="H443" s="37">
        <f>1010878.4/2</f>
        <v>505439.2</v>
      </c>
      <c r="I443" s="37">
        <f>SUM(J443:M443)</f>
        <v>39967.83</v>
      </c>
      <c r="J443" s="37">
        <v>39967.83</v>
      </c>
      <c r="K443" s="38"/>
      <c r="L443" s="38"/>
      <c r="M443" s="38"/>
      <c r="N443" s="39">
        <f>H443+I443</f>
        <v>545407.03</v>
      </c>
      <c r="O443" s="37">
        <f>1010878.4/2</f>
        <v>505439.2</v>
      </c>
      <c r="P443" s="60">
        <v>428197.59</v>
      </c>
      <c r="Q443" s="37">
        <f t="shared" si="268"/>
        <v>0</v>
      </c>
      <c r="R443" s="37"/>
      <c r="S443" s="37"/>
      <c r="T443" s="37"/>
      <c r="U443" s="37">
        <v>0</v>
      </c>
      <c r="V443" s="37"/>
      <c r="W443" s="183">
        <v>437326.92</v>
      </c>
      <c r="X443" s="320"/>
      <c r="Y443" s="320"/>
      <c r="Z443" s="353"/>
      <c r="AA443" s="37"/>
      <c r="AB443" s="37">
        <v>437326.92</v>
      </c>
    </row>
    <row r="444" spans="1:28" ht="25.5" hidden="1" x14ac:dyDescent="0.2">
      <c r="A444" s="46" t="s">
        <v>405</v>
      </c>
      <c r="B444" s="47"/>
      <c r="C444" s="14"/>
      <c r="D444" s="36" t="s">
        <v>459</v>
      </c>
      <c r="E444" s="15" t="s">
        <v>46</v>
      </c>
      <c r="F444" s="14"/>
      <c r="G444" s="14" t="s">
        <v>56</v>
      </c>
      <c r="H444" s="37"/>
      <c r="I444" s="37"/>
      <c r="J444" s="37"/>
      <c r="K444" s="38"/>
      <c r="L444" s="38"/>
      <c r="M444" s="38"/>
      <c r="N444" s="63"/>
      <c r="O444" s="37"/>
      <c r="P444" s="60">
        <v>2216579</v>
      </c>
      <c r="Q444" s="37">
        <f t="shared" si="268"/>
        <v>0</v>
      </c>
      <c r="R444" s="37"/>
      <c r="S444" s="37"/>
      <c r="T444" s="37"/>
      <c r="U444" s="37"/>
      <c r="V444" s="37"/>
      <c r="W444" s="183">
        <v>0</v>
      </c>
      <c r="X444" s="320"/>
      <c r="Y444" s="320"/>
      <c r="Z444" s="353"/>
      <c r="AA444" s="37"/>
      <c r="AB444" s="37">
        <v>0</v>
      </c>
    </row>
    <row r="445" spans="1:28" s="58" customFormat="1" x14ac:dyDescent="0.2">
      <c r="A445" s="54" t="s">
        <v>57</v>
      </c>
      <c r="B445" s="90" t="s">
        <v>131</v>
      </c>
      <c r="C445" s="49" t="s">
        <v>302</v>
      </c>
      <c r="D445" s="150" t="s">
        <v>18</v>
      </c>
      <c r="E445" s="50" t="s">
        <v>19</v>
      </c>
      <c r="F445" s="49" t="s">
        <v>58</v>
      </c>
      <c r="G445" s="49"/>
      <c r="H445" s="51">
        <f>SUM(H446:H456)</f>
        <v>263760.92</v>
      </c>
      <c r="I445" s="51">
        <f t="shared" ref="I445:N445" si="269">SUM(I446:I456)</f>
        <v>-37993.83</v>
      </c>
      <c r="J445" s="51">
        <f t="shared" si="269"/>
        <v>-47993.83</v>
      </c>
      <c r="K445" s="51">
        <f t="shared" si="269"/>
        <v>0</v>
      </c>
      <c r="L445" s="51">
        <f t="shared" si="269"/>
        <v>0</v>
      </c>
      <c r="M445" s="51">
        <f t="shared" si="269"/>
        <v>10000</v>
      </c>
      <c r="N445" s="51">
        <f t="shared" si="269"/>
        <v>225767.08999999997</v>
      </c>
      <c r="O445" s="51">
        <f>SUM(O446:O456)</f>
        <v>211008.736</v>
      </c>
      <c r="P445" s="282">
        <f>SUM(P446:P458)</f>
        <v>447389.65</v>
      </c>
      <c r="Q445" s="282">
        <f>SUM(Q446:Q458)</f>
        <v>10930</v>
      </c>
      <c r="R445" s="282">
        <f t="shared" ref="R445:V445" si="270">SUM(R446:R458)</f>
        <v>10930</v>
      </c>
      <c r="S445" s="282">
        <f t="shared" si="270"/>
        <v>0</v>
      </c>
      <c r="T445" s="282">
        <f t="shared" si="270"/>
        <v>0</v>
      </c>
      <c r="U445" s="282">
        <f t="shared" si="270"/>
        <v>0</v>
      </c>
      <c r="V445" s="282">
        <f t="shared" si="270"/>
        <v>0</v>
      </c>
      <c r="W445" s="397">
        <f>SUM(W446:W458)</f>
        <v>432244.73</v>
      </c>
      <c r="X445" s="321"/>
      <c r="Y445" s="321"/>
      <c r="Z445" s="356"/>
      <c r="AA445" s="383">
        <f>SUM(AA446:AA458)</f>
        <v>0</v>
      </c>
      <c r="AB445" s="282">
        <f t="shared" ref="AB445" si="271">SUM(AB446:AB458)</f>
        <v>1062244.72</v>
      </c>
    </row>
    <row r="446" spans="1:28" s="80" customFormat="1" hidden="1" x14ac:dyDescent="0.2">
      <c r="A446" s="95" t="s">
        <v>312</v>
      </c>
      <c r="B446" s="214"/>
      <c r="C446" s="36"/>
      <c r="D446" s="36"/>
      <c r="E446" s="77" t="s">
        <v>283</v>
      </c>
      <c r="F446" s="36"/>
      <c r="G446" s="36" t="s">
        <v>38</v>
      </c>
      <c r="H446" s="78">
        <v>25000</v>
      </c>
      <c r="I446" s="37">
        <f t="shared" ref="I446:I456" si="272">SUM(J446:M446)</f>
        <v>4000</v>
      </c>
      <c r="J446" s="78">
        <v>4000</v>
      </c>
      <c r="K446" s="79"/>
      <c r="L446" s="79"/>
      <c r="M446" s="79"/>
      <c r="N446" s="39">
        <f t="shared" ref="N446:N456" si="273">H446+I446</f>
        <v>29000</v>
      </c>
      <c r="O446" s="78">
        <f>25000*80%</f>
        <v>20000</v>
      </c>
      <c r="P446" s="74">
        <v>0</v>
      </c>
      <c r="Q446" s="78"/>
      <c r="R446" s="78"/>
      <c r="S446" s="78"/>
      <c r="T446" s="78"/>
      <c r="U446" s="78"/>
      <c r="V446" s="78"/>
      <c r="W446" s="183"/>
      <c r="X446" s="322"/>
      <c r="Y446" s="322"/>
      <c r="Z446" s="357"/>
      <c r="AA446" s="384"/>
      <c r="AB446" s="37"/>
    </row>
    <row r="447" spans="1:28" hidden="1" x14ac:dyDescent="0.2">
      <c r="A447" s="12" t="s">
        <v>312</v>
      </c>
      <c r="B447" s="154"/>
      <c r="C447" s="14"/>
      <c r="D447" s="14"/>
      <c r="E447" s="15" t="s">
        <v>46</v>
      </c>
      <c r="F447" s="14"/>
      <c r="G447" s="14" t="s">
        <v>38</v>
      </c>
      <c r="H447" s="37">
        <v>0</v>
      </c>
      <c r="I447" s="37">
        <f t="shared" si="272"/>
        <v>-4000</v>
      </c>
      <c r="J447" s="37">
        <v>-4000</v>
      </c>
      <c r="K447" s="38"/>
      <c r="L447" s="38"/>
      <c r="M447" s="38"/>
      <c r="N447" s="39">
        <f t="shared" si="273"/>
        <v>-4000</v>
      </c>
      <c r="O447" s="37">
        <v>0</v>
      </c>
      <c r="P447" s="60">
        <v>0</v>
      </c>
      <c r="Q447" s="37"/>
      <c r="R447" s="37"/>
      <c r="S447" s="78"/>
      <c r="T447" s="78"/>
      <c r="U447" s="78"/>
      <c r="V447" s="78"/>
      <c r="W447" s="183"/>
      <c r="X447" s="320"/>
      <c r="Y447" s="320"/>
      <c r="Z447" s="353"/>
      <c r="AA447" s="385"/>
      <c r="AB447" s="37"/>
    </row>
    <row r="448" spans="1:28" ht="63.75" hidden="1" x14ac:dyDescent="0.2">
      <c r="A448" s="112" t="s">
        <v>313</v>
      </c>
      <c r="B448" s="154"/>
      <c r="C448" s="14"/>
      <c r="D448" s="36" t="s">
        <v>459</v>
      </c>
      <c r="E448" s="15" t="s">
        <v>46</v>
      </c>
      <c r="F448" s="14"/>
      <c r="G448" s="14" t="s">
        <v>104</v>
      </c>
      <c r="H448" s="37">
        <v>0</v>
      </c>
      <c r="I448" s="37">
        <f t="shared" si="272"/>
        <v>0</v>
      </c>
      <c r="J448" s="37">
        <v>0</v>
      </c>
      <c r="K448" s="38">
        <v>0</v>
      </c>
      <c r="L448" s="38">
        <v>0</v>
      </c>
      <c r="M448" s="38">
        <v>0</v>
      </c>
      <c r="N448" s="39">
        <f t="shared" si="273"/>
        <v>0</v>
      </c>
      <c r="O448" s="37">
        <v>0</v>
      </c>
      <c r="P448" s="60">
        <v>0</v>
      </c>
      <c r="Q448" s="183">
        <f>R448+S448+T448+U448+V448</f>
        <v>0</v>
      </c>
      <c r="R448" s="183"/>
      <c r="S448" s="78"/>
      <c r="T448" s="78"/>
      <c r="U448" s="78"/>
      <c r="V448" s="78"/>
      <c r="W448" s="183">
        <f t="shared" ref="W448:W456" si="274">P448+Q448</f>
        <v>0</v>
      </c>
      <c r="X448" s="320"/>
      <c r="Y448" s="320"/>
      <c r="Z448" s="353"/>
      <c r="AA448" s="386">
        <v>0</v>
      </c>
      <c r="AB448" s="37">
        <f t="shared" ref="AB448:AB456" si="275">U448+V448</f>
        <v>0</v>
      </c>
    </row>
    <row r="449" spans="1:28" ht="25.5" x14ac:dyDescent="0.2">
      <c r="A449" s="44" t="s">
        <v>314</v>
      </c>
      <c r="B449" s="45"/>
      <c r="C449" s="14"/>
      <c r="D449" s="36" t="s">
        <v>459</v>
      </c>
      <c r="E449" s="15" t="s">
        <v>46</v>
      </c>
      <c r="F449" s="14"/>
      <c r="G449" s="14" t="s">
        <v>147</v>
      </c>
      <c r="H449" s="37">
        <v>53760.92</v>
      </c>
      <c r="I449" s="37">
        <f t="shared" si="272"/>
        <v>0</v>
      </c>
      <c r="J449" s="37"/>
      <c r="K449" s="38"/>
      <c r="L449" s="38"/>
      <c r="M449" s="38"/>
      <c r="N449" s="39">
        <f t="shared" si="273"/>
        <v>53760.92</v>
      </c>
      <c r="O449" s="37">
        <f>53760.92*80%</f>
        <v>43008.736000000004</v>
      </c>
      <c r="P449" s="60">
        <v>22406.51</v>
      </c>
      <c r="Q449" s="183">
        <f t="shared" ref="Q449:Q457" si="276">R449+S449+T449+U449+V449</f>
        <v>0</v>
      </c>
      <c r="R449" s="37"/>
      <c r="S449" s="78"/>
      <c r="T449" s="78"/>
      <c r="U449" s="78"/>
      <c r="V449" s="78"/>
      <c r="W449" s="183">
        <v>22406.52</v>
      </c>
      <c r="X449" s="320"/>
      <c r="Y449" s="320"/>
      <c r="Z449" s="353"/>
      <c r="AA449" s="385">
        <v>0</v>
      </c>
      <c r="AB449" s="37">
        <v>22406.51</v>
      </c>
    </row>
    <row r="450" spans="1:28" ht="25.5" x14ac:dyDescent="0.2">
      <c r="A450" s="44" t="s">
        <v>314</v>
      </c>
      <c r="B450" s="45"/>
      <c r="C450" s="14"/>
      <c r="D450" s="36" t="s">
        <v>428</v>
      </c>
      <c r="E450" s="15" t="s">
        <v>46</v>
      </c>
      <c r="F450" s="14"/>
      <c r="G450" s="14" t="s">
        <v>147</v>
      </c>
      <c r="H450" s="37"/>
      <c r="I450" s="37"/>
      <c r="J450" s="37"/>
      <c r="K450" s="38"/>
      <c r="L450" s="38"/>
      <c r="M450" s="38"/>
      <c r="N450" s="39"/>
      <c r="O450" s="37"/>
      <c r="P450" s="60">
        <v>33137.65</v>
      </c>
      <c r="Q450" s="183">
        <f t="shared" si="276"/>
        <v>0</v>
      </c>
      <c r="R450" s="37"/>
      <c r="S450" s="78"/>
      <c r="T450" s="78"/>
      <c r="U450" s="78"/>
      <c r="V450" s="78"/>
      <c r="W450" s="183">
        <v>33137.65</v>
      </c>
      <c r="X450" s="320"/>
      <c r="Y450" s="320"/>
      <c r="Z450" s="353"/>
      <c r="AA450" s="385"/>
      <c r="AB450" s="37">
        <v>33137.65</v>
      </c>
    </row>
    <row r="451" spans="1:28" ht="25.5" x14ac:dyDescent="0.2">
      <c r="A451" s="44" t="s">
        <v>61</v>
      </c>
      <c r="B451" s="45"/>
      <c r="C451" s="14"/>
      <c r="D451" s="36" t="s">
        <v>459</v>
      </c>
      <c r="E451" s="15" t="s">
        <v>46</v>
      </c>
      <c r="F451" s="14"/>
      <c r="G451" s="14" t="s">
        <v>62</v>
      </c>
      <c r="H451" s="37">
        <v>35000</v>
      </c>
      <c r="I451" s="37">
        <f t="shared" si="272"/>
        <v>0</v>
      </c>
      <c r="J451" s="37"/>
      <c r="K451" s="38"/>
      <c r="L451" s="38"/>
      <c r="M451" s="38"/>
      <c r="N451" s="39">
        <f t="shared" si="273"/>
        <v>35000</v>
      </c>
      <c r="O451" s="37">
        <f>35000*80%</f>
        <v>28000</v>
      </c>
      <c r="P451" s="60">
        <v>19109.46</v>
      </c>
      <c r="Q451" s="183">
        <f t="shared" si="276"/>
        <v>0</v>
      </c>
      <c r="R451" s="37"/>
      <c r="S451" s="78"/>
      <c r="T451" s="78"/>
      <c r="U451" s="78"/>
      <c r="V451" s="78"/>
      <c r="W451" s="183">
        <v>19109.46</v>
      </c>
      <c r="X451" s="320"/>
      <c r="Y451" s="320"/>
      <c r="Z451" s="353"/>
      <c r="AA451" s="385">
        <v>0</v>
      </c>
      <c r="AB451" s="37">
        <v>19109.46</v>
      </c>
    </row>
    <row r="452" spans="1:28" x14ac:dyDescent="0.2">
      <c r="A452" s="44" t="s">
        <v>315</v>
      </c>
      <c r="B452" s="45"/>
      <c r="C452" s="14"/>
      <c r="D452" s="36" t="s">
        <v>459</v>
      </c>
      <c r="E452" s="15" t="s">
        <v>44</v>
      </c>
      <c r="F452" s="14"/>
      <c r="G452" s="14" t="s">
        <v>60</v>
      </c>
      <c r="H452" s="37">
        <v>50000</v>
      </c>
      <c r="I452" s="37">
        <f t="shared" si="272"/>
        <v>19000</v>
      </c>
      <c r="J452" s="37">
        <v>19000</v>
      </c>
      <c r="K452" s="38"/>
      <c r="L452" s="38"/>
      <c r="M452" s="38"/>
      <c r="N452" s="39">
        <f t="shared" si="273"/>
        <v>69000</v>
      </c>
      <c r="O452" s="37">
        <f>50000*80%</f>
        <v>40000</v>
      </c>
      <c r="P452" s="60">
        <v>75400</v>
      </c>
      <c r="Q452" s="183">
        <f t="shared" si="276"/>
        <v>2830</v>
      </c>
      <c r="R452" s="37">
        <v>2830</v>
      </c>
      <c r="S452" s="78"/>
      <c r="T452" s="78"/>
      <c r="U452" s="78"/>
      <c r="V452" s="78"/>
      <c r="W452" s="183">
        <f>78230-30000</f>
        <v>48230</v>
      </c>
      <c r="X452" s="320">
        <f>78230-W452</f>
        <v>30000</v>
      </c>
      <c r="Y452" s="320"/>
      <c r="Z452" s="353"/>
      <c r="AA452" s="385">
        <v>0</v>
      </c>
      <c r="AB452" s="37">
        <v>78230</v>
      </c>
    </row>
    <row r="453" spans="1:28" hidden="1" x14ac:dyDescent="0.2">
      <c r="A453" s="44" t="s">
        <v>316</v>
      </c>
      <c r="B453" s="45"/>
      <c r="C453" s="14"/>
      <c r="D453" s="36" t="s">
        <v>459</v>
      </c>
      <c r="E453" s="15" t="s">
        <v>46</v>
      </c>
      <c r="F453" s="14"/>
      <c r="G453" s="14" t="s">
        <v>317</v>
      </c>
      <c r="H453" s="37">
        <v>0</v>
      </c>
      <c r="I453" s="37">
        <f t="shared" si="272"/>
        <v>0</v>
      </c>
      <c r="J453" s="37">
        <v>0</v>
      </c>
      <c r="K453" s="38">
        <v>0</v>
      </c>
      <c r="L453" s="38">
        <v>0</v>
      </c>
      <c r="M453" s="38">
        <v>0</v>
      </c>
      <c r="N453" s="39">
        <f t="shared" si="273"/>
        <v>0</v>
      </c>
      <c r="O453" s="37">
        <v>0</v>
      </c>
      <c r="P453" s="60">
        <v>0</v>
      </c>
      <c r="Q453" s="183">
        <f t="shared" si="276"/>
        <v>0</v>
      </c>
      <c r="R453" s="37"/>
      <c r="S453" s="78"/>
      <c r="T453" s="78"/>
      <c r="U453" s="78"/>
      <c r="V453" s="78"/>
      <c r="W453" s="183">
        <v>0</v>
      </c>
      <c r="X453" s="320"/>
      <c r="Y453" s="320"/>
      <c r="Z453" s="353"/>
      <c r="AA453" s="385"/>
      <c r="AB453" s="37">
        <v>0</v>
      </c>
    </row>
    <row r="454" spans="1:28" hidden="1" x14ac:dyDescent="0.2">
      <c r="A454" s="44" t="s">
        <v>318</v>
      </c>
      <c r="B454" s="45"/>
      <c r="C454" s="14"/>
      <c r="D454" s="36" t="s">
        <v>305</v>
      </c>
      <c r="E454" s="15" t="s">
        <v>46</v>
      </c>
      <c r="F454" s="14"/>
      <c r="G454" s="14" t="s">
        <v>109</v>
      </c>
      <c r="H454" s="37">
        <v>0</v>
      </c>
      <c r="I454" s="37">
        <f t="shared" si="272"/>
        <v>0</v>
      </c>
      <c r="J454" s="37">
        <v>0</v>
      </c>
      <c r="K454" s="38">
        <v>0</v>
      </c>
      <c r="L454" s="38">
        <v>0</v>
      </c>
      <c r="M454" s="38">
        <v>0</v>
      </c>
      <c r="N454" s="39">
        <f t="shared" si="273"/>
        <v>0</v>
      </c>
      <c r="O454" s="37">
        <v>0</v>
      </c>
      <c r="P454" s="60">
        <v>0</v>
      </c>
      <c r="Q454" s="183">
        <f t="shared" si="276"/>
        <v>0</v>
      </c>
      <c r="R454" s="37"/>
      <c r="S454" s="78"/>
      <c r="T454" s="78"/>
      <c r="U454" s="78"/>
      <c r="V454" s="78"/>
      <c r="W454" s="183">
        <f t="shared" si="274"/>
        <v>0</v>
      </c>
      <c r="X454" s="320"/>
      <c r="Y454" s="320"/>
      <c r="Z454" s="353"/>
      <c r="AA454" s="385"/>
      <c r="AB454" s="37">
        <f t="shared" si="275"/>
        <v>0</v>
      </c>
    </row>
    <row r="455" spans="1:28" x14ac:dyDescent="0.2">
      <c r="A455" s="44" t="s">
        <v>148</v>
      </c>
      <c r="B455" s="45"/>
      <c r="C455" s="14"/>
      <c r="D455" s="36" t="s">
        <v>459</v>
      </c>
      <c r="E455" s="15" t="s">
        <v>46</v>
      </c>
      <c r="F455" s="14"/>
      <c r="G455" s="14" t="s">
        <v>64</v>
      </c>
      <c r="H455" s="37">
        <v>0</v>
      </c>
      <c r="I455" s="37">
        <f t="shared" si="272"/>
        <v>6742</v>
      </c>
      <c r="J455" s="37">
        <f>-3258</f>
        <v>-3258</v>
      </c>
      <c r="K455" s="38"/>
      <c r="L455" s="38"/>
      <c r="M455" s="38">
        <v>10000</v>
      </c>
      <c r="N455" s="39">
        <f t="shared" si="273"/>
        <v>6742</v>
      </c>
      <c r="O455" s="37">
        <v>0</v>
      </c>
      <c r="P455" s="60">
        <v>278636.03000000003</v>
      </c>
      <c r="Q455" s="183">
        <f t="shared" si="276"/>
        <v>0</v>
      </c>
      <c r="R455" s="37"/>
      <c r="S455" s="78"/>
      <c r="T455" s="78"/>
      <c r="U455" s="78"/>
      <c r="V455" s="78"/>
      <c r="W455" s="183">
        <f>882561.1-600000</f>
        <v>282561.09999999998</v>
      </c>
      <c r="X455" s="320"/>
      <c r="Y455" s="320"/>
      <c r="Z455" s="353"/>
      <c r="AA455" s="385"/>
      <c r="AB455" s="37">
        <v>882561.1</v>
      </c>
    </row>
    <row r="456" spans="1:28" hidden="1" x14ac:dyDescent="0.2">
      <c r="A456" s="44" t="s">
        <v>148</v>
      </c>
      <c r="B456" s="45"/>
      <c r="C456" s="14"/>
      <c r="D456" s="36"/>
      <c r="E456" s="15" t="s">
        <v>46</v>
      </c>
      <c r="F456" s="14"/>
      <c r="G456" s="14" t="s">
        <v>64</v>
      </c>
      <c r="H456" s="37">
        <v>100000</v>
      </c>
      <c r="I456" s="37">
        <f t="shared" si="272"/>
        <v>-63735.83</v>
      </c>
      <c r="J456" s="37">
        <f>-23768-39967.83</f>
        <v>-63735.83</v>
      </c>
      <c r="K456" s="38"/>
      <c r="L456" s="38"/>
      <c r="M456" s="38"/>
      <c r="N456" s="39">
        <f t="shared" si="273"/>
        <v>36264.17</v>
      </c>
      <c r="O456" s="37">
        <f>100000*80%</f>
        <v>80000</v>
      </c>
      <c r="P456" s="60">
        <v>0</v>
      </c>
      <c r="Q456" s="183">
        <f t="shared" si="276"/>
        <v>0</v>
      </c>
      <c r="R456" s="37"/>
      <c r="S456" s="78"/>
      <c r="T456" s="78"/>
      <c r="U456" s="78"/>
      <c r="V456" s="78"/>
      <c r="W456" s="183">
        <f t="shared" si="274"/>
        <v>0</v>
      </c>
      <c r="X456" s="320"/>
      <c r="Y456" s="320"/>
      <c r="Z456" s="353"/>
      <c r="AA456" s="385"/>
      <c r="AB456" s="37">
        <f t="shared" si="275"/>
        <v>0</v>
      </c>
    </row>
    <row r="457" spans="1:28" hidden="1" x14ac:dyDescent="0.2">
      <c r="A457" s="44" t="s">
        <v>316</v>
      </c>
      <c r="B457" s="45"/>
      <c r="C457" s="14"/>
      <c r="D457" s="36" t="s">
        <v>460</v>
      </c>
      <c r="E457" s="15" t="s">
        <v>46</v>
      </c>
      <c r="F457" s="14"/>
      <c r="G457" s="14" t="s">
        <v>317</v>
      </c>
      <c r="H457" s="37"/>
      <c r="I457" s="37"/>
      <c r="J457" s="37"/>
      <c r="K457" s="38"/>
      <c r="L457" s="38"/>
      <c r="M457" s="38"/>
      <c r="N457" s="39"/>
      <c r="O457" s="37"/>
      <c r="P457" s="60">
        <v>0</v>
      </c>
      <c r="Q457" s="183">
        <f t="shared" si="276"/>
        <v>0</v>
      </c>
      <c r="R457" s="37"/>
      <c r="S457" s="78"/>
      <c r="T457" s="78"/>
      <c r="U457" s="78"/>
      <c r="V457" s="78"/>
      <c r="W457" s="183"/>
      <c r="X457" s="320"/>
      <c r="Y457" s="320"/>
      <c r="Z457" s="353"/>
      <c r="AA457" s="385"/>
      <c r="AB457" s="37"/>
    </row>
    <row r="458" spans="1:28" ht="25.5" x14ac:dyDescent="0.2">
      <c r="A458" s="44" t="s">
        <v>108</v>
      </c>
      <c r="B458" s="45"/>
      <c r="C458" s="14"/>
      <c r="D458" s="36" t="s">
        <v>459</v>
      </c>
      <c r="E458" s="15" t="s">
        <v>46</v>
      </c>
      <c r="F458" s="14"/>
      <c r="G458" s="14" t="s">
        <v>109</v>
      </c>
      <c r="H458" s="37"/>
      <c r="I458" s="37"/>
      <c r="J458" s="37"/>
      <c r="K458" s="38"/>
      <c r="L458" s="38"/>
      <c r="M458" s="38"/>
      <c r="N458" s="39"/>
      <c r="O458" s="37"/>
      <c r="P458" s="60">
        <v>18700</v>
      </c>
      <c r="Q458" s="183">
        <f>R458+S458+T458+U458+V458</f>
        <v>8100</v>
      </c>
      <c r="R458" s="37">
        <v>8100</v>
      </c>
      <c r="S458" s="78"/>
      <c r="T458" s="78"/>
      <c r="U458" s="78"/>
      <c r="V458" s="78"/>
      <c r="W458" s="183">
        <v>26800</v>
      </c>
      <c r="X458" s="320">
        <f>26800-18700</f>
        <v>8100</v>
      </c>
      <c r="Y458" s="320"/>
      <c r="Z458" s="353"/>
      <c r="AA458" s="385"/>
      <c r="AB458" s="37">
        <v>26800</v>
      </c>
    </row>
    <row r="459" spans="1:28" x14ac:dyDescent="0.2">
      <c r="A459" s="29" t="s">
        <v>65</v>
      </c>
      <c r="B459" s="179" t="s">
        <v>131</v>
      </c>
      <c r="C459" s="31" t="s">
        <v>302</v>
      </c>
      <c r="D459" s="49" t="s">
        <v>459</v>
      </c>
      <c r="E459" s="32" t="s">
        <v>19</v>
      </c>
      <c r="F459" s="31" t="s">
        <v>66</v>
      </c>
      <c r="G459" s="31"/>
      <c r="H459" s="33">
        <f t="shared" ref="H459:N459" si="277">SUM(H460:H465)</f>
        <v>567721.09</v>
      </c>
      <c r="I459" s="33">
        <f t="shared" si="277"/>
        <v>63258</v>
      </c>
      <c r="J459" s="33">
        <f t="shared" si="277"/>
        <v>3258</v>
      </c>
      <c r="K459" s="34">
        <f t="shared" si="277"/>
        <v>0</v>
      </c>
      <c r="L459" s="34">
        <f t="shared" si="277"/>
        <v>0</v>
      </c>
      <c r="M459" s="34">
        <f t="shared" si="277"/>
        <v>60000</v>
      </c>
      <c r="N459" s="35">
        <f t="shared" si="277"/>
        <v>630979.09</v>
      </c>
      <c r="O459" s="33">
        <f>SUM(O460:O465)</f>
        <v>555721.09</v>
      </c>
      <c r="P459" s="281">
        <f t="shared" ref="P459:V459" si="278">P460+P461+P462+P463+P464+P465+P466+P467</f>
        <v>379887.26</v>
      </c>
      <c r="Q459" s="281">
        <f t="shared" si="278"/>
        <v>-1009.48</v>
      </c>
      <c r="R459" s="281">
        <f t="shared" si="278"/>
        <v>-1009.48</v>
      </c>
      <c r="S459" s="281">
        <f t="shared" si="278"/>
        <v>0</v>
      </c>
      <c r="T459" s="281">
        <f t="shared" si="278"/>
        <v>0</v>
      </c>
      <c r="U459" s="281">
        <f t="shared" si="278"/>
        <v>0</v>
      </c>
      <c r="V459" s="281">
        <f t="shared" si="278"/>
        <v>0</v>
      </c>
      <c r="W459" s="285">
        <f>W460+W461+W462+W463+W464+W465+W466+W467</f>
        <v>286255.78000000003</v>
      </c>
      <c r="X459" s="320"/>
      <c r="Y459" s="320"/>
      <c r="Z459" s="353"/>
      <c r="AA459" s="281">
        <f>AA460+AA461+AA462+AA463+AA464+AA465+AA466+AA467</f>
        <v>179739.32</v>
      </c>
      <c r="AB459" s="281">
        <f>AB460+AB461+AB462+AB463+AB464+AB465+AB466+AB467</f>
        <v>404581.89</v>
      </c>
    </row>
    <row r="460" spans="1:28" s="80" customFormat="1" x14ac:dyDescent="0.2">
      <c r="A460" s="95" t="s">
        <v>290</v>
      </c>
      <c r="B460" s="214"/>
      <c r="C460" s="36"/>
      <c r="D460" s="36" t="s">
        <v>459</v>
      </c>
      <c r="E460" s="77" t="s">
        <v>118</v>
      </c>
      <c r="F460" s="36" t="s">
        <v>497</v>
      </c>
      <c r="G460" s="36" t="s">
        <v>119</v>
      </c>
      <c r="H460" s="78">
        <f>505235-3397.63</f>
        <v>501837.37</v>
      </c>
      <c r="I460" s="37">
        <f>SUM(J460:M460)</f>
        <v>0</v>
      </c>
      <c r="J460" s="78">
        <v>0</v>
      </c>
      <c r="K460" s="79"/>
      <c r="L460" s="79"/>
      <c r="M460" s="79"/>
      <c r="N460" s="39">
        <f>H460+I460</f>
        <v>501837.37</v>
      </c>
      <c r="O460" s="78">
        <f>505235-3397.63</f>
        <v>501837.37</v>
      </c>
      <c r="P460" s="74">
        <v>109369</v>
      </c>
      <c r="Q460" s="78">
        <f>R460+S460+T460+U460+V460</f>
        <v>0</v>
      </c>
      <c r="R460" s="78"/>
      <c r="S460" s="78"/>
      <c r="T460" s="78"/>
      <c r="U460" s="78"/>
      <c r="V460" s="78"/>
      <c r="W460" s="183">
        <f>109369-20000</f>
        <v>89369</v>
      </c>
      <c r="X460" s="322"/>
      <c r="Y460" s="322"/>
      <c r="Z460" s="357"/>
      <c r="AA460" s="78">
        <v>101982</v>
      </c>
      <c r="AB460" s="183">
        <v>109369</v>
      </c>
    </row>
    <row r="461" spans="1:28" ht="25.5" x14ac:dyDescent="0.2">
      <c r="A461" s="44" t="s">
        <v>319</v>
      </c>
      <c r="B461" s="45"/>
      <c r="C461" s="14"/>
      <c r="D461" s="36"/>
      <c r="E461" s="15" t="s">
        <v>121</v>
      </c>
      <c r="F461" s="14" t="s">
        <v>497</v>
      </c>
      <c r="G461" s="14" t="s">
        <v>119</v>
      </c>
      <c r="H461" s="37">
        <v>5883.72</v>
      </c>
      <c r="I461" s="37">
        <f>SUM(J461:M461)</f>
        <v>0</v>
      </c>
      <c r="J461" s="37">
        <v>0</v>
      </c>
      <c r="K461" s="38">
        <v>0</v>
      </c>
      <c r="L461" s="38">
        <v>0</v>
      </c>
      <c r="M461" s="38">
        <v>0</v>
      </c>
      <c r="N461" s="39">
        <f>H461+I461</f>
        <v>5883.72</v>
      </c>
      <c r="O461" s="37">
        <v>5883.72</v>
      </c>
      <c r="P461" s="60">
        <v>3500</v>
      </c>
      <c r="Q461" s="78">
        <f t="shared" ref="Q461:Q466" si="279">R461+S461+T461+U461+V461</f>
        <v>0</v>
      </c>
      <c r="R461" s="37"/>
      <c r="S461" s="78"/>
      <c r="T461" s="78"/>
      <c r="U461" s="78"/>
      <c r="V461" s="78"/>
      <c r="W461" s="183">
        <v>3500</v>
      </c>
      <c r="X461" s="320"/>
      <c r="Y461" s="320"/>
      <c r="Z461" s="353"/>
      <c r="AA461" s="37">
        <v>3500</v>
      </c>
      <c r="AB461" s="37">
        <v>3500</v>
      </c>
    </row>
    <row r="462" spans="1:28" ht="25.5" x14ac:dyDescent="0.2">
      <c r="A462" s="164" t="s">
        <v>320</v>
      </c>
      <c r="B462" s="45"/>
      <c r="C462" s="14"/>
      <c r="D462" s="36"/>
      <c r="E462" s="15" t="s">
        <v>124</v>
      </c>
      <c r="F462" s="14" t="s">
        <v>497</v>
      </c>
      <c r="G462" s="14" t="s">
        <v>119</v>
      </c>
      <c r="H462" s="37">
        <v>0</v>
      </c>
      <c r="I462" s="37">
        <f>SUM(J462:M462)</f>
        <v>3258</v>
      </c>
      <c r="J462" s="37">
        <v>3258</v>
      </c>
      <c r="K462" s="38">
        <v>0</v>
      </c>
      <c r="L462" s="38">
        <v>0</v>
      </c>
      <c r="M462" s="38">
        <v>0</v>
      </c>
      <c r="N462" s="39">
        <f>H462+I462</f>
        <v>3258</v>
      </c>
      <c r="O462" s="37">
        <v>0</v>
      </c>
      <c r="P462" s="60">
        <v>1069.55</v>
      </c>
      <c r="Q462" s="78">
        <f t="shared" si="279"/>
        <v>0</v>
      </c>
      <c r="R462" s="37"/>
      <c r="S462" s="78"/>
      <c r="T462" s="78"/>
      <c r="U462" s="78"/>
      <c r="V462" s="78"/>
      <c r="W462" s="183">
        <v>1069.55</v>
      </c>
      <c r="X462" s="320"/>
      <c r="Y462" s="320"/>
      <c r="Z462" s="353"/>
      <c r="AA462" s="37">
        <v>1069.55</v>
      </c>
      <c r="AB462" s="37">
        <v>1069.55</v>
      </c>
    </row>
    <row r="463" spans="1:28" x14ac:dyDescent="0.2">
      <c r="A463" s="164" t="s">
        <v>321</v>
      </c>
      <c r="B463" s="45"/>
      <c r="C463" s="14"/>
      <c r="D463" s="36"/>
      <c r="E463" s="15" t="s">
        <v>124</v>
      </c>
      <c r="F463" s="14" t="s">
        <v>498</v>
      </c>
      <c r="G463" s="14" t="s">
        <v>122</v>
      </c>
      <c r="H463" s="37">
        <v>0</v>
      </c>
      <c r="I463" s="37">
        <f>SUM(J463:M463)</f>
        <v>60000</v>
      </c>
      <c r="J463" s="37"/>
      <c r="K463" s="38"/>
      <c r="L463" s="38"/>
      <c r="M463" s="38">
        <v>60000</v>
      </c>
      <c r="N463" s="39">
        <f>H463+I463</f>
        <v>60000</v>
      </c>
      <c r="O463" s="37">
        <v>0</v>
      </c>
      <c r="P463" s="60">
        <v>87.77</v>
      </c>
      <c r="Q463" s="78">
        <f t="shared" si="279"/>
        <v>0</v>
      </c>
      <c r="R463" s="37"/>
      <c r="S463" s="78"/>
      <c r="T463" s="78"/>
      <c r="U463" s="78"/>
      <c r="V463" s="78"/>
      <c r="W463" s="183">
        <v>87.77</v>
      </c>
      <c r="X463" s="320"/>
      <c r="Y463" s="320"/>
      <c r="Z463" s="353"/>
      <c r="AA463" s="37">
        <v>87.77</v>
      </c>
      <c r="AB463" s="37">
        <v>87.77</v>
      </c>
    </row>
    <row r="464" spans="1:28" hidden="1" x14ac:dyDescent="0.2">
      <c r="A464" s="164" t="s">
        <v>422</v>
      </c>
      <c r="B464" s="45"/>
      <c r="C464" s="14"/>
      <c r="D464" s="36"/>
      <c r="E464" s="15" t="s">
        <v>163</v>
      </c>
      <c r="F464" s="14"/>
      <c r="G464" s="14" t="s">
        <v>164</v>
      </c>
      <c r="H464" s="37"/>
      <c r="I464" s="37"/>
      <c r="J464" s="37"/>
      <c r="K464" s="38"/>
      <c r="L464" s="38"/>
      <c r="M464" s="38"/>
      <c r="N464" s="39"/>
      <c r="O464" s="37"/>
      <c r="P464" s="60">
        <v>0</v>
      </c>
      <c r="Q464" s="78">
        <f t="shared" si="279"/>
        <v>0</v>
      </c>
      <c r="R464" s="37">
        <v>0</v>
      </c>
      <c r="S464" s="78"/>
      <c r="T464" s="78"/>
      <c r="U464" s="78"/>
      <c r="V464" s="78"/>
      <c r="W464" s="183">
        <f t="shared" ref="W464" si="280">P464+Q464</f>
        <v>0</v>
      </c>
      <c r="X464" s="320"/>
      <c r="Y464" s="320"/>
      <c r="Z464" s="353"/>
      <c r="AA464" s="37">
        <v>0</v>
      </c>
      <c r="AB464" s="37">
        <f t="shared" ref="AB464" si="281">U464+V464</f>
        <v>0</v>
      </c>
    </row>
    <row r="465" spans="1:28" ht="25.5" x14ac:dyDescent="0.2">
      <c r="A465" s="44" t="s">
        <v>322</v>
      </c>
      <c r="B465" s="45"/>
      <c r="C465" s="14"/>
      <c r="D465" s="36"/>
      <c r="E465" s="15" t="s">
        <v>46</v>
      </c>
      <c r="F465" s="14" t="s">
        <v>496</v>
      </c>
      <c r="G465" s="14" t="s">
        <v>166</v>
      </c>
      <c r="H465" s="37">
        <v>60000</v>
      </c>
      <c r="I465" s="37">
        <f>SUM(J465:M465)</f>
        <v>0</v>
      </c>
      <c r="J465" s="37"/>
      <c r="K465" s="38"/>
      <c r="L465" s="38"/>
      <c r="M465" s="38"/>
      <c r="N465" s="39">
        <f>H465+I465</f>
        <v>60000</v>
      </c>
      <c r="O465" s="37">
        <f>60000*80%</f>
        <v>48000</v>
      </c>
      <c r="P465" s="60">
        <v>87793</v>
      </c>
      <c r="Q465" s="78">
        <f t="shared" si="279"/>
        <v>-1009.48</v>
      </c>
      <c r="R465" s="37">
        <v>-1009.48</v>
      </c>
      <c r="S465" s="78"/>
      <c r="T465" s="78"/>
      <c r="U465" s="78"/>
      <c r="V465" s="78"/>
      <c r="W465" s="183">
        <f>86783.52</f>
        <v>86783.52</v>
      </c>
      <c r="X465" s="320">
        <f>86783.52-W465</f>
        <v>0</v>
      </c>
      <c r="Y465" s="320"/>
      <c r="Z465" s="353"/>
      <c r="AA465" s="37">
        <v>73100</v>
      </c>
      <c r="AB465" s="37">
        <f>86783.52+100000-1673.89</f>
        <v>185109.63</v>
      </c>
    </row>
    <row r="466" spans="1:28" x14ac:dyDescent="0.2">
      <c r="A466" s="44" t="s">
        <v>316</v>
      </c>
      <c r="B466" s="45"/>
      <c r="C466" s="14"/>
      <c r="D466" s="36" t="s">
        <v>460</v>
      </c>
      <c r="E466" s="15" t="s">
        <v>46</v>
      </c>
      <c r="F466" s="14" t="s">
        <v>496</v>
      </c>
      <c r="G466" s="14" t="s">
        <v>166</v>
      </c>
      <c r="H466" s="37"/>
      <c r="I466" s="37"/>
      <c r="J466" s="37"/>
      <c r="K466" s="38"/>
      <c r="L466" s="38"/>
      <c r="M466" s="38"/>
      <c r="N466" s="39"/>
      <c r="O466" s="37"/>
      <c r="P466" s="60">
        <v>172622</v>
      </c>
      <c r="Q466" s="78">
        <f t="shared" si="279"/>
        <v>0</v>
      </c>
      <c r="R466" s="37"/>
      <c r="S466" s="78"/>
      <c r="T466" s="78"/>
      <c r="U466" s="78">
        <v>0</v>
      </c>
      <c r="V466" s="78"/>
      <c r="W466" s="183">
        <v>100000</v>
      </c>
      <c r="X466" s="320"/>
      <c r="Y466" s="320"/>
      <c r="Z466" s="353"/>
      <c r="AA466" s="37"/>
      <c r="AB466" s="37">
        <v>100000</v>
      </c>
    </row>
    <row r="467" spans="1:28" x14ac:dyDescent="0.2">
      <c r="A467" s="44" t="s">
        <v>316</v>
      </c>
      <c r="B467" s="45"/>
      <c r="C467" s="14"/>
      <c r="D467" s="36" t="s">
        <v>459</v>
      </c>
      <c r="E467" s="15" t="s">
        <v>46</v>
      </c>
      <c r="F467" s="14" t="s">
        <v>496</v>
      </c>
      <c r="G467" s="14" t="s">
        <v>69</v>
      </c>
      <c r="H467" s="37"/>
      <c r="I467" s="37"/>
      <c r="J467" s="37"/>
      <c r="K467" s="38"/>
      <c r="L467" s="38"/>
      <c r="M467" s="38"/>
      <c r="N467" s="39"/>
      <c r="O467" s="37"/>
      <c r="P467" s="60">
        <v>5445.94</v>
      </c>
      <c r="Q467" s="78">
        <f>R467+S467+T467+U467+V467</f>
        <v>0</v>
      </c>
      <c r="R467" s="37"/>
      <c r="S467" s="78"/>
      <c r="T467" s="78"/>
      <c r="U467" s="78"/>
      <c r="V467" s="78"/>
      <c r="W467" s="183">
        <f>5445.94</f>
        <v>5445.94</v>
      </c>
      <c r="X467" s="320"/>
      <c r="Y467" s="320"/>
      <c r="Z467" s="353"/>
      <c r="AA467" s="37"/>
      <c r="AB467" s="37">
        <f>5445.94</f>
        <v>5445.94</v>
      </c>
    </row>
    <row r="468" spans="1:28" x14ac:dyDescent="0.2">
      <c r="A468" s="29" t="s">
        <v>70</v>
      </c>
      <c r="B468" s="179" t="s">
        <v>131</v>
      </c>
      <c r="C468" s="31" t="s">
        <v>302</v>
      </c>
      <c r="D468" s="49" t="s">
        <v>18</v>
      </c>
      <c r="E468" s="32" t="s">
        <v>46</v>
      </c>
      <c r="F468" s="31" t="s">
        <v>71</v>
      </c>
      <c r="G468" s="31"/>
      <c r="H468" s="33">
        <f t="shared" ref="H468:W468" si="282">H469+H475</f>
        <v>440000</v>
      </c>
      <c r="I468" s="33">
        <f t="shared" si="282"/>
        <v>119434</v>
      </c>
      <c r="J468" s="33">
        <f t="shared" si="282"/>
        <v>0</v>
      </c>
      <c r="K468" s="34">
        <f t="shared" si="282"/>
        <v>0</v>
      </c>
      <c r="L468" s="34">
        <f t="shared" si="282"/>
        <v>0</v>
      </c>
      <c r="M468" s="34">
        <f t="shared" si="282"/>
        <v>119434</v>
      </c>
      <c r="N468" s="35">
        <f t="shared" si="282"/>
        <v>559434</v>
      </c>
      <c r="O468" s="33">
        <f t="shared" si="282"/>
        <v>392000</v>
      </c>
      <c r="P468" s="281">
        <f t="shared" si="282"/>
        <v>1009911.48</v>
      </c>
      <c r="Q468" s="281">
        <f t="shared" si="282"/>
        <v>47796.590000000004</v>
      </c>
      <c r="R468" s="281">
        <f t="shared" si="282"/>
        <v>2818.1500000000015</v>
      </c>
      <c r="S468" s="281">
        <f t="shared" si="282"/>
        <v>44978.44</v>
      </c>
      <c r="T468" s="281">
        <f t="shared" si="282"/>
        <v>0</v>
      </c>
      <c r="U468" s="281">
        <f t="shared" si="282"/>
        <v>0</v>
      </c>
      <c r="V468" s="281">
        <f t="shared" si="282"/>
        <v>0</v>
      </c>
      <c r="W468" s="285">
        <f t="shared" si="282"/>
        <v>220650.47</v>
      </c>
      <c r="X468" s="320"/>
      <c r="Y468" s="320"/>
      <c r="Z468" s="353"/>
      <c r="AA468" s="281">
        <f>AA469+AA475</f>
        <v>0</v>
      </c>
      <c r="AB468" s="281">
        <f t="shared" ref="AB468" si="283">AB469+AB475</f>
        <v>490650.47</v>
      </c>
    </row>
    <row r="469" spans="1:28" x14ac:dyDescent="0.2">
      <c r="A469" s="12" t="s">
        <v>72</v>
      </c>
      <c r="B469" s="154" t="s">
        <v>131</v>
      </c>
      <c r="C469" s="14" t="s">
        <v>302</v>
      </c>
      <c r="D469" s="36" t="s">
        <v>459</v>
      </c>
      <c r="E469" s="15" t="s">
        <v>19</v>
      </c>
      <c r="F469" s="14" t="s">
        <v>73</v>
      </c>
      <c r="G469" s="14"/>
      <c r="H469" s="78">
        <f t="shared" ref="H469:O469" si="284">SUM(H470:H473)</f>
        <v>250000</v>
      </c>
      <c r="I469" s="78">
        <f t="shared" si="284"/>
        <v>0</v>
      </c>
      <c r="J469" s="78">
        <f t="shared" si="284"/>
        <v>0</v>
      </c>
      <c r="K469" s="79">
        <f t="shared" si="284"/>
        <v>0</v>
      </c>
      <c r="L469" s="79">
        <f t="shared" si="284"/>
        <v>0</v>
      </c>
      <c r="M469" s="79">
        <f t="shared" si="284"/>
        <v>0</v>
      </c>
      <c r="N469" s="79">
        <f t="shared" si="284"/>
        <v>250000</v>
      </c>
      <c r="O469" s="78">
        <f t="shared" si="284"/>
        <v>240000</v>
      </c>
      <c r="P469" s="74">
        <f>SUM(P470:P474)</f>
        <v>522570</v>
      </c>
      <c r="Q469" s="74">
        <f t="shared" ref="Q469:V469" si="285">SUM(Q470:Q474)</f>
        <v>60291.15</v>
      </c>
      <c r="R469" s="74">
        <f t="shared" si="285"/>
        <v>60291.15</v>
      </c>
      <c r="S469" s="74">
        <f t="shared" si="285"/>
        <v>0</v>
      </c>
      <c r="T469" s="74">
        <f t="shared" si="285"/>
        <v>0</v>
      </c>
      <c r="U469" s="74">
        <f t="shared" si="285"/>
        <v>0</v>
      </c>
      <c r="V469" s="74">
        <f t="shared" si="285"/>
        <v>0</v>
      </c>
      <c r="W469" s="294">
        <f>SUM(W470:W474)</f>
        <v>77239.47</v>
      </c>
      <c r="X469" s="320"/>
      <c r="Y469" s="320"/>
      <c r="Z469" s="353"/>
      <c r="AA469" s="74">
        <f>AA470+AA473+AA471+AA474</f>
        <v>0</v>
      </c>
      <c r="AB469" s="74">
        <f t="shared" ref="AB469" si="286">SUM(AB470:AB474)</f>
        <v>177239.47</v>
      </c>
    </row>
    <row r="470" spans="1:28" ht="38.25" x14ac:dyDescent="0.2">
      <c r="A470" s="46" t="s">
        <v>323</v>
      </c>
      <c r="B470" s="47"/>
      <c r="C470" s="14"/>
      <c r="D470" s="36" t="s">
        <v>459</v>
      </c>
      <c r="E470" s="15" t="s">
        <v>46</v>
      </c>
      <c r="F470" s="14"/>
      <c r="G470" s="14" t="s">
        <v>75</v>
      </c>
      <c r="H470" s="37">
        <v>50000</v>
      </c>
      <c r="I470" s="37">
        <f>SUM(J470:M470)</f>
        <v>0</v>
      </c>
      <c r="J470" s="37"/>
      <c r="K470" s="38"/>
      <c r="L470" s="38">
        <v>0</v>
      </c>
      <c r="M470" s="38"/>
      <c r="N470" s="39">
        <f>H470+I470</f>
        <v>50000</v>
      </c>
      <c r="O470" s="37">
        <f>50000*80%</f>
        <v>40000</v>
      </c>
      <c r="P470" s="60">
        <v>88480</v>
      </c>
      <c r="Q470" s="37">
        <f>R470+S470+T470+U470+V470</f>
        <v>-11195.4</v>
      </c>
      <c r="R470" s="37">
        <v>-11195.4</v>
      </c>
      <c r="S470" s="78"/>
      <c r="T470" s="78"/>
      <c r="U470" s="78"/>
      <c r="V470" s="78"/>
      <c r="W470" s="183">
        <f>47239.47</f>
        <v>47239.47</v>
      </c>
      <c r="X470" s="320">
        <f>77284.6-W470</f>
        <v>30045.130000000005</v>
      </c>
      <c r="Y470" s="320"/>
      <c r="Z470" s="353"/>
      <c r="AA470" s="37"/>
      <c r="AB470" s="37">
        <f>47239.47+50000</f>
        <v>97239.47</v>
      </c>
    </row>
    <row r="471" spans="1:28" ht="38.25" x14ac:dyDescent="0.2">
      <c r="A471" s="46" t="s">
        <v>323</v>
      </c>
      <c r="B471" s="47"/>
      <c r="C471" s="14"/>
      <c r="D471" s="36" t="s">
        <v>459</v>
      </c>
      <c r="E471" s="15" t="s">
        <v>44</v>
      </c>
      <c r="F471" s="14"/>
      <c r="G471" s="14" t="s">
        <v>75</v>
      </c>
      <c r="H471" s="37"/>
      <c r="I471" s="37"/>
      <c r="J471" s="37"/>
      <c r="K471" s="38"/>
      <c r="L471" s="38"/>
      <c r="M471" s="38"/>
      <c r="N471" s="39"/>
      <c r="O471" s="37"/>
      <c r="P471" s="60">
        <v>0</v>
      </c>
      <c r="Q471" s="37">
        <f>R471+S471+T471+U471+V471</f>
        <v>0</v>
      </c>
      <c r="R471" s="37"/>
      <c r="S471" s="78"/>
      <c r="T471" s="78"/>
      <c r="U471" s="78"/>
      <c r="V471" s="78"/>
      <c r="W471" s="183">
        <f>80000-50000</f>
        <v>30000</v>
      </c>
      <c r="X471" s="320"/>
      <c r="Y471" s="320"/>
      <c r="Z471" s="353"/>
      <c r="AA471" s="37"/>
      <c r="AB471" s="37">
        <f>80000</f>
        <v>80000</v>
      </c>
    </row>
    <row r="472" spans="1:28" ht="38.25" hidden="1" x14ac:dyDescent="0.2">
      <c r="A472" s="46" t="s">
        <v>323</v>
      </c>
      <c r="B472" s="47"/>
      <c r="C472" s="14"/>
      <c r="D472" s="36" t="s">
        <v>517</v>
      </c>
      <c r="E472" s="15" t="s">
        <v>46</v>
      </c>
      <c r="F472" s="14"/>
      <c r="G472" s="377" t="s">
        <v>75</v>
      </c>
      <c r="H472" s="37">
        <v>100000</v>
      </c>
      <c r="I472" s="37">
        <f>SUM(J472:M472)</f>
        <v>0</v>
      </c>
      <c r="J472" s="37">
        <v>0</v>
      </c>
      <c r="K472" s="38">
        <v>0</v>
      </c>
      <c r="L472" s="38">
        <v>0</v>
      </c>
      <c r="M472" s="38">
        <v>0</v>
      </c>
      <c r="N472" s="39">
        <f>H472+I472</f>
        <v>100000</v>
      </c>
      <c r="O472" s="37">
        <v>100000</v>
      </c>
      <c r="P472" s="60">
        <v>42790</v>
      </c>
      <c r="Q472" s="37">
        <f>R472+S472+T472+U472+V472</f>
        <v>71486.55</v>
      </c>
      <c r="R472" s="37">
        <v>71486.55</v>
      </c>
      <c r="S472" s="78"/>
      <c r="T472" s="78"/>
      <c r="U472" s="78"/>
      <c r="V472" s="78"/>
      <c r="W472" s="183">
        <v>0</v>
      </c>
      <c r="X472" s="320">
        <f>114276.55-W472</f>
        <v>114276.55</v>
      </c>
      <c r="Y472" s="320"/>
      <c r="Z472" s="353"/>
      <c r="AA472" s="37"/>
      <c r="AB472" s="37">
        <v>0</v>
      </c>
    </row>
    <row r="473" spans="1:28" ht="38.25" hidden="1" x14ac:dyDescent="0.2">
      <c r="A473" s="46" t="s">
        <v>323</v>
      </c>
      <c r="B473" s="47"/>
      <c r="C473" s="14"/>
      <c r="D473" s="36" t="s">
        <v>511</v>
      </c>
      <c r="E473" s="15" t="s">
        <v>44</v>
      </c>
      <c r="F473" s="14"/>
      <c r="G473" s="377" t="s">
        <v>512</v>
      </c>
      <c r="H473" s="37">
        <v>100000</v>
      </c>
      <c r="I473" s="37">
        <f>SUM(J473:M473)</f>
        <v>0</v>
      </c>
      <c r="J473" s="37">
        <v>0</v>
      </c>
      <c r="K473" s="38">
        <v>0</v>
      </c>
      <c r="L473" s="38">
        <v>0</v>
      </c>
      <c r="M473" s="38">
        <v>0</v>
      </c>
      <c r="N473" s="39">
        <f>H473+I473</f>
        <v>100000</v>
      </c>
      <c r="O473" s="37">
        <v>100000</v>
      </c>
      <c r="P473" s="60">
        <v>50000</v>
      </c>
      <c r="Q473" s="37">
        <f>R473+S473+T473+U473+V473</f>
        <v>0</v>
      </c>
      <c r="R473" s="37"/>
      <c r="S473" s="78"/>
      <c r="T473" s="78"/>
      <c r="U473" s="78"/>
      <c r="V473" s="78"/>
      <c r="W473" s="183">
        <v>0</v>
      </c>
      <c r="X473" s="320"/>
      <c r="Y473" s="320"/>
      <c r="Z473" s="353"/>
      <c r="AA473" s="37">
        <v>0</v>
      </c>
      <c r="AB473" s="37">
        <v>0</v>
      </c>
    </row>
    <row r="474" spans="1:28" ht="38.25" hidden="1" x14ac:dyDescent="0.2">
      <c r="A474" s="46" t="s">
        <v>323</v>
      </c>
      <c r="B474" s="47"/>
      <c r="C474" s="14"/>
      <c r="D474" s="36" t="s">
        <v>460</v>
      </c>
      <c r="E474" s="15" t="s">
        <v>46</v>
      </c>
      <c r="F474" s="14"/>
      <c r="G474" s="377" t="s">
        <v>512</v>
      </c>
      <c r="H474" s="37">
        <v>100000</v>
      </c>
      <c r="I474" s="37">
        <f>SUM(J474:M474)</f>
        <v>0</v>
      </c>
      <c r="J474" s="37">
        <v>0</v>
      </c>
      <c r="K474" s="38">
        <v>0</v>
      </c>
      <c r="L474" s="38">
        <v>0</v>
      </c>
      <c r="M474" s="38">
        <v>0</v>
      </c>
      <c r="N474" s="39">
        <f>H474+I474</f>
        <v>100000</v>
      </c>
      <c r="O474" s="37">
        <v>100000</v>
      </c>
      <c r="P474" s="60">
        <v>341300</v>
      </c>
      <c r="Q474" s="37">
        <f>R474+S474+T474+U474+V474</f>
        <v>0</v>
      </c>
      <c r="R474" s="37"/>
      <c r="S474" s="78"/>
      <c r="T474" s="78"/>
      <c r="U474" s="78">
        <v>0</v>
      </c>
      <c r="V474" s="78"/>
      <c r="W474" s="183">
        <v>0</v>
      </c>
      <c r="X474" s="320"/>
      <c r="Y474" s="320"/>
      <c r="Z474" s="353"/>
      <c r="AA474" s="37">
        <v>0</v>
      </c>
      <c r="AB474" s="37">
        <v>0</v>
      </c>
    </row>
    <row r="475" spans="1:28" ht="25.5" x14ac:dyDescent="0.2">
      <c r="A475" s="12" t="s">
        <v>76</v>
      </c>
      <c r="B475" s="154" t="s">
        <v>131</v>
      </c>
      <c r="C475" s="14" t="s">
        <v>302</v>
      </c>
      <c r="D475" s="36" t="s">
        <v>459</v>
      </c>
      <c r="E475" s="15" t="s">
        <v>19</v>
      </c>
      <c r="F475" s="14" t="s">
        <v>77</v>
      </c>
      <c r="G475" s="14"/>
      <c r="H475" s="78">
        <f t="shared" ref="H475:N475" si="287">SUM(H477:H486)</f>
        <v>190000</v>
      </c>
      <c r="I475" s="33">
        <f t="shared" si="287"/>
        <v>119434</v>
      </c>
      <c r="J475" s="33">
        <f t="shared" si="287"/>
        <v>0</v>
      </c>
      <c r="K475" s="34">
        <f t="shared" si="287"/>
        <v>0</v>
      </c>
      <c r="L475" s="34">
        <f t="shared" si="287"/>
        <v>0</v>
      </c>
      <c r="M475" s="34">
        <f t="shared" si="287"/>
        <v>119434</v>
      </c>
      <c r="N475" s="34">
        <f t="shared" si="287"/>
        <v>309434</v>
      </c>
      <c r="O475" s="78">
        <f>SUM(O477:O486)</f>
        <v>152000</v>
      </c>
      <c r="P475" s="74">
        <f>SUM(P476:P487)</f>
        <v>487341.48</v>
      </c>
      <c r="Q475" s="74">
        <f t="shared" ref="Q475:V475" si="288">SUM(Q476:Q487)</f>
        <v>-12494.56</v>
      </c>
      <c r="R475" s="74">
        <f t="shared" si="288"/>
        <v>-57473</v>
      </c>
      <c r="S475" s="74">
        <f t="shared" si="288"/>
        <v>44978.44</v>
      </c>
      <c r="T475" s="74">
        <f t="shared" si="288"/>
        <v>0</v>
      </c>
      <c r="U475" s="74">
        <f t="shared" si="288"/>
        <v>0</v>
      </c>
      <c r="V475" s="74">
        <f t="shared" si="288"/>
        <v>0</v>
      </c>
      <c r="W475" s="294">
        <f>W476+W477+W485+W486</f>
        <v>143411</v>
      </c>
      <c r="X475" s="320"/>
      <c r="Y475" s="320"/>
      <c r="Z475" s="353"/>
      <c r="AA475" s="74">
        <f>SUM(AA476:AA487)</f>
        <v>0</v>
      </c>
      <c r="AB475" s="74">
        <f>SUM(AB476:AB487)</f>
        <v>313411</v>
      </c>
    </row>
    <row r="476" spans="1:28" ht="25.5" x14ac:dyDescent="0.2">
      <c r="A476" s="12" t="s">
        <v>76</v>
      </c>
      <c r="B476" s="154"/>
      <c r="C476" s="14"/>
      <c r="D476" s="36"/>
      <c r="E476" s="15" t="s">
        <v>46</v>
      </c>
      <c r="F476" s="14"/>
      <c r="G476" s="14" t="s">
        <v>263</v>
      </c>
      <c r="H476" s="78"/>
      <c r="I476" s="33"/>
      <c r="J476" s="33"/>
      <c r="K476" s="34"/>
      <c r="L476" s="34"/>
      <c r="M476" s="34"/>
      <c r="N476" s="236"/>
      <c r="O476" s="78"/>
      <c r="P476" s="74">
        <v>100522.6</v>
      </c>
      <c r="Q476" s="78">
        <f>R476+S476+T476+U476+V476</f>
        <v>47</v>
      </c>
      <c r="R476" s="74">
        <v>47</v>
      </c>
      <c r="S476" s="74"/>
      <c r="T476" s="74"/>
      <c r="U476" s="74"/>
      <c r="V476" s="74"/>
      <c r="W476" s="183">
        <f>86411-50000</f>
        <v>36411</v>
      </c>
      <c r="X476" s="320">
        <f>100569.6-W476</f>
        <v>64158.600000000006</v>
      </c>
      <c r="Y476" s="320"/>
      <c r="Z476" s="353"/>
      <c r="AA476" s="74"/>
      <c r="AB476" s="37">
        <v>86411</v>
      </c>
    </row>
    <row r="477" spans="1:28" ht="25.5" x14ac:dyDescent="0.2">
      <c r="A477" s="12" t="s">
        <v>76</v>
      </c>
      <c r="B477" s="154"/>
      <c r="C477" s="14"/>
      <c r="D477" s="36"/>
      <c r="E477" s="15" t="s">
        <v>46</v>
      </c>
      <c r="F477" s="14"/>
      <c r="G477" s="14" t="s">
        <v>325</v>
      </c>
      <c r="H477" s="78">
        <v>50000</v>
      </c>
      <c r="I477" s="37">
        <f t="shared" ref="I477:I486" si="289">SUM(J477:M477)</f>
        <v>0</v>
      </c>
      <c r="J477" s="78">
        <v>0</v>
      </c>
      <c r="K477" s="79">
        <v>0</v>
      </c>
      <c r="L477" s="79">
        <v>0</v>
      </c>
      <c r="M477" s="79">
        <v>0</v>
      </c>
      <c r="N477" s="39">
        <f t="shared" ref="N477:N486" si="290">H477+I477</f>
        <v>50000</v>
      </c>
      <c r="O477" s="78">
        <f>50000*80%</f>
        <v>40000</v>
      </c>
      <c r="P477" s="74">
        <v>49429</v>
      </c>
      <c r="Q477" s="78">
        <f t="shared" ref="Q477:Q486" si="291">R477+S477+T477+U477+V477</f>
        <v>-12541.56</v>
      </c>
      <c r="R477" s="78">
        <v>-12541.56</v>
      </c>
      <c r="S477" s="78"/>
      <c r="T477" s="78"/>
      <c r="U477" s="78"/>
      <c r="V477" s="78"/>
      <c r="W477" s="183">
        <f>80000-50000</f>
        <v>30000</v>
      </c>
      <c r="X477" s="320"/>
      <c r="Y477" s="320"/>
      <c r="Z477" s="353"/>
      <c r="AA477" s="78"/>
      <c r="AB477" s="37">
        <v>80000</v>
      </c>
    </row>
    <row r="478" spans="1:28" ht="25.5" hidden="1" x14ac:dyDescent="0.2">
      <c r="A478" s="12" t="s">
        <v>76</v>
      </c>
      <c r="B478" s="154"/>
      <c r="C478" s="14"/>
      <c r="D478" s="36"/>
      <c r="E478" s="15" t="s">
        <v>46</v>
      </c>
      <c r="F478" s="14"/>
      <c r="G478" s="14" t="s">
        <v>325</v>
      </c>
      <c r="H478" s="78">
        <v>0</v>
      </c>
      <c r="I478" s="37">
        <f t="shared" si="289"/>
        <v>100000</v>
      </c>
      <c r="J478" s="78"/>
      <c r="K478" s="79"/>
      <c r="L478" s="79"/>
      <c r="M478" s="79">
        <v>100000</v>
      </c>
      <c r="N478" s="39">
        <f t="shared" si="290"/>
        <v>100000</v>
      </c>
      <c r="O478" s="78">
        <v>0</v>
      </c>
      <c r="P478" s="74">
        <v>0</v>
      </c>
      <c r="Q478" s="78">
        <f t="shared" si="291"/>
        <v>0</v>
      </c>
      <c r="R478" s="78"/>
      <c r="S478" s="78"/>
      <c r="T478" s="78"/>
      <c r="U478" s="78"/>
      <c r="V478" s="78"/>
      <c r="W478" s="183">
        <f t="shared" ref="W478:W479" si="292">P478+Q478</f>
        <v>0</v>
      </c>
      <c r="X478" s="320"/>
      <c r="Y478" s="320"/>
      <c r="Z478" s="353"/>
      <c r="AA478" s="78"/>
      <c r="AB478" s="37">
        <f t="shared" ref="AB478:AB479" si="293">U478+V478</f>
        <v>0</v>
      </c>
    </row>
    <row r="479" spans="1:28" ht="25.5" hidden="1" x14ac:dyDescent="0.2">
      <c r="A479" s="12" t="s">
        <v>76</v>
      </c>
      <c r="B479" s="154"/>
      <c r="C479" s="14"/>
      <c r="D479" s="36"/>
      <c r="E479" s="15" t="s">
        <v>46</v>
      </c>
      <c r="F479" s="14"/>
      <c r="G479" s="14" t="s">
        <v>79</v>
      </c>
      <c r="H479" s="37">
        <v>0</v>
      </c>
      <c r="I479" s="37">
        <f t="shared" si="289"/>
        <v>0</v>
      </c>
      <c r="J479" s="37"/>
      <c r="K479" s="38"/>
      <c r="L479" s="38"/>
      <c r="M479" s="38"/>
      <c r="N479" s="39">
        <f t="shared" si="290"/>
        <v>0</v>
      </c>
      <c r="O479" s="37">
        <v>0</v>
      </c>
      <c r="P479" s="60">
        <v>0</v>
      </c>
      <c r="Q479" s="78">
        <f t="shared" si="291"/>
        <v>0</v>
      </c>
      <c r="R479" s="37"/>
      <c r="S479" s="78"/>
      <c r="T479" s="78"/>
      <c r="U479" s="78"/>
      <c r="V479" s="78"/>
      <c r="W479" s="183">
        <f t="shared" si="292"/>
        <v>0</v>
      </c>
      <c r="X479" s="320"/>
      <c r="Y479" s="320"/>
      <c r="Z479" s="353"/>
      <c r="AA479" s="37"/>
      <c r="AB479" s="37">
        <f t="shared" si="293"/>
        <v>0</v>
      </c>
    </row>
    <row r="480" spans="1:28" ht="25.5" hidden="1" x14ac:dyDescent="0.2">
      <c r="A480" s="12" t="s">
        <v>76</v>
      </c>
      <c r="B480" s="154"/>
      <c r="C480" s="14"/>
      <c r="D480" s="36" t="s">
        <v>460</v>
      </c>
      <c r="E480" s="15" t="s">
        <v>46</v>
      </c>
      <c r="F480" s="14"/>
      <c r="G480" s="14" t="s">
        <v>81</v>
      </c>
      <c r="H480" s="37">
        <v>0</v>
      </c>
      <c r="I480" s="37">
        <f t="shared" si="289"/>
        <v>0</v>
      </c>
      <c r="J480" s="37">
        <v>0</v>
      </c>
      <c r="K480" s="38"/>
      <c r="L480" s="38"/>
      <c r="M480" s="38"/>
      <c r="N480" s="39">
        <f t="shared" si="290"/>
        <v>0</v>
      </c>
      <c r="O480" s="37">
        <v>0</v>
      </c>
      <c r="P480" s="60">
        <v>600</v>
      </c>
      <c r="Q480" s="78">
        <f t="shared" si="291"/>
        <v>0</v>
      </c>
      <c r="R480" s="37"/>
      <c r="S480" s="78"/>
      <c r="T480" s="78"/>
      <c r="U480" s="78">
        <v>0</v>
      </c>
      <c r="V480" s="78"/>
      <c r="W480" s="183">
        <v>0</v>
      </c>
      <c r="X480" s="320"/>
      <c r="Y480" s="320"/>
      <c r="Z480" s="353"/>
      <c r="AA480" s="37"/>
      <c r="AB480" s="37">
        <v>0</v>
      </c>
    </row>
    <row r="481" spans="1:28" ht="25.5" hidden="1" x14ac:dyDescent="0.2">
      <c r="A481" s="12" t="s">
        <v>76</v>
      </c>
      <c r="B481" s="154"/>
      <c r="C481" s="14"/>
      <c r="D481" s="36" t="s">
        <v>460</v>
      </c>
      <c r="E481" s="15" t="s">
        <v>46</v>
      </c>
      <c r="F481" s="14"/>
      <c r="G481" s="14" t="s">
        <v>263</v>
      </c>
      <c r="H481" s="37">
        <v>0</v>
      </c>
      <c r="I481" s="37">
        <f t="shared" si="289"/>
        <v>0</v>
      </c>
      <c r="J481" s="37"/>
      <c r="K481" s="38"/>
      <c r="L481" s="38"/>
      <c r="M481" s="38"/>
      <c r="N481" s="39">
        <f t="shared" si="290"/>
        <v>0</v>
      </c>
      <c r="O481" s="37">
        <v>0</v>
      </c>
      <c r="P481" s="60">
        <v>83604.78</v>
      </c>
      <c r="Q481" s="78">
        <f t="shared" si="291"/>
        <v>0</v>
      </c>
      <c r="R481" s="37">
        <v>-44978.44</v>
      </c>
      <c r="S481" s="78">
        <v>44978.44</v>
      </c>
      <c r="T481" s="78"/>
      <c r="U481" s="78"/>
      <c r="V481" s="78"/>
      <c r="W481" s="183">
        <v>0</v>
      </c>
      <c r="X481" s="320"/>
      <c r="Y481" s="320"/>
      <c r="Z481" s="353"/>
      <c r="AA481" s="37"/>
      <c r="AB481" s="183">
        <v>0</v>
      </c>
    </row>
    <row r="482" spans="1:28" ht="25.5" hidden="1" x14ac:dyDescent="0.2">
      <c r="A482" s="12" t="s">
        <v>76</v>
      </c>
      <c r="B482" s="154"/>
      <c r="C482" s="14"/>
      <c r="D482" s="36" t="s">
        <v>517</v>
      </c>
      <c r="E482" s="15" t="s">
        <v>46</v>
      </c>
      <c r="F482" s="14"/>
      <c r="G482" s="14" t="s">
        <v>81</v>
      </c>
      <c r="H482" s="37">
        <v>0</v>
      </c>
      <c r="I482" s="37">
        <f t="shared" si="289"/>
        <v>0</v>
      </c>
      <c r="J482" s="37"/>
      <c r="K482" s="38"/>
      <c r="L482" s="38"/>
      <c r="M482" s="38">
        <v>0</v>
      </c>
      <c r="N482" s="39">
        <f t="shared" si="290"/>
        <v>0</v>
      </c>
      <c r="O482" s="37">
        <v>0</v>
      </c>
      <c r="P482" s="60">
        <v>7210</v>
      </c>
      <c r="Q482" s="78">
        <f t="shared" si="291"/>
        <v>0</v>
      </c>
      <c r="R482" s="37"/>
      <c r="S482" s="78"/>
      <c r="T482" s="78"/>
      <c r="U482" s="78"/>
      <c r="V482" s="78"/>
      <c r="W482" s="183">
        <v>0</v>
      </c>
      <c r="X482" s="320"/>
      <c r="Y482" s="320"/>
      <c r="Z482" s="353"/>
      <c r="AA482" s="37"/>
      <c r="AB482" s="183">
        <v>0</v>
      </c>
    </row>
    <row r="483" spans="1:28" ht="25.5" hidden="1" x14ac:dyDescent="0.2">
      <c r="A483" s="12" t="s">
        <v>76</v>
      </c>
      <c r="B483" s="154"/>
      <c r="C483" s="14"/>
      <c r="D483" s="36"/>
      <c r="E483" s="15" t="s">
        <v>46</v>
      </c>
      <c r="F483" s="14"/>
      <c r="G483" s="14" t="s">
        <v>81</v>
      </c>
      <c r="H483" s="37">
        <v>0</v>
      </c>
      <c r="I483" s="37">
        <f t="shared" si="289"/>
        <v>19434</v>
      </c>
      <c r="J483" s="37">
        <v>0</v>
      </c>
      <c r="K483" s="38">
        <v>0</v>
      </c>
      <c r="L483" s="38">
        <v>0</v>
      </c>
      <c r="M483" s="38">
        <v>19434</v>
      </c>
      <c r="N483" s="39">
        <f t="shared" si="290"/>
        <v>19434</v>
      </c>
      <c r="O483" s="37">
        <v>0</v>
      </c>
      <c r="P483" s="60">
        <v>0</v>
      </c>
      <c r="Q483" s="78">
        <f t="shared" si="291"/>
        <v>0</v>
      </c>
      <c r="R483" s="37"/>
      <c r="S483" s="78"/>
      <c r="T483" s="78"/>
      <c r="U483" s="78"/>
      <c r="V483" s="78"/>
      <c r="W483" s="183"/>
      <c r="X483" s="320"/>
      <c r="Y483" s="320"/>
      <c r="Z483" s="353"/>
      <c r="AA483" s="37"/>
      <c r="AB483" s="37"/>
    </row>
    <row r="484" spans="1:28" ht="25.5" hidden="1" x14ac:dyDescent="0.2">
      <c r="A484" s="12" t="s">
        <v>76</v>
      </c>
      <c r="B484" s="154"/>
      <c r="C484" s="14"/>
      <c r="D484" s="36"/>
      <c r="E484" s="15" t="s">
        <v>46</v>
      </c>
      <c r="F484" s="14"/>
      <c r="G484" s="14"/>
      <c r="H484" s="37"/>
      <c r="I484" s="37"/>
      <c r="J484" s="37"/>
      <c r="K484" s="38"/>
      <c r="L484" s="38"/>
      <c r="M484" s="38"/>
      <c r="N484" s="39"/>
      <c r="O484" s="37"/>
      <c r="P484" s="60">
        <v>0</v>
      </c>
      <c r="Q484" s="78">
        <f t="shared" si="291"/>
        <v>0</v>
      </c>
      <c r="R484" s="37">
        <v>0</v>
      </c>
      <c r="S484" s="78"/>
      <c r="T484" s="78"/>
      <c r="U484" s="78"/>
      <c r="V484" s="78"/>
      <c r="W484" s="183">
        <f>P484+Q484</f>
        <v>0</v>
      </c>
      <c r="X484" s="320"/>
      <c r="Y484" s="320"/>
      <c r="Z484" s="353"/>
      <c r="AA484" s="37">
        <v>0</v>
      </c>
      <c r="AB484" s="37">
        <f>U484+V484</f>
        <v>0</v>
      </c>
    </row>
    <row r="485" spans="1:28" ht="25.5" x14ac:dyDescent="0.2">
      <c r="A485" s="46" t="s">
        <v>80</v>
      </c>
      <c r="B485" s="47"/>
      <c r="C485" s="14"/>
      <c r="D485" s="36"/>
      <c r="E485" s="15" t="s">
        <v>44</v>
      </c>
      <c r="F485" s="14"/>
      <c r="G485" s="14" t="s">
        <v>81</v>
      </c>
      <c r="H485" s="37">
        <v>40000</v>
      </c>
      <c r="I485" s="37">
        <f>SUM(J485:M485)</f>
        <v>34470</v>
      </c>
      <c r="J485" s="37">
        <v>34470</v>
      </c>
      <c r="K485" s="38">
        <v>0</v>
      </c>
      <c r="L485" s="38">
        <v>0</v>
      </c>
      <c r="M485" s="38">
        <v>0</v>
      </c>
      <c r="N485" s="39">
        <f>H485+I485</f>
        <v>74470</v>
      </c>
      <c r="O485" s="37">
        <f>40000*80%</f>
        <v>32000</v>
      </c>
      <c r="P485" s="60">
        <v>47000</v>
      </c>
      <c r="Q485" s="78">
        <f t="shared" si="291"/>
        <v>0</v>
      </c>
      <c r="R485" s="37"/>
      <c r="S485" s="78"/>
      <c r="T485" s="78"/>
      <c r="U485" s="78">
        <v>0</v>
      </c>
      <c r="V485" s="78"/>
      <c r="W485" s="183">
        <v>47000</v>
      </c>
      <c r="X485" s="320"/>
      <c r="Y485" s="320"/>
      <c r="Z485" s="353"/>
      <c r="AA485" s="37">
        <v>0</v>
      </c>
      <c r="AB485" s="37">
        <v>47000</v>
      </c>
    </row>
    <row r="486" spans="1:28" ht="25.5" x14ac:dyDescent="0.2">
      <c r="A486" s="46" t="s">
        <v>80</v>
      </c>
      <c r="B486" s="47"/>
      <c r="C486" s="14"/>
      <c r="D486" s="36"/>
      <c r="E486" s="15" t="s">
        <v>46</v>
      </c>
      <c r="F486" s="14"/>
      <c r="G486" s="14" t="s">
        <v>81</v>
      </c>
      <c r="H486" s="37">
        <v>100000</v>
      </c>
      <c r="I486" s="37">
        <f t="shared" si="289"/>
        <v>-34470</v>
      </c>
      <c r="J486" s="37">
        <v>-34470</v>
      </c>
      <c r="K486" s="38">
        <v>0</v>
      </c>
      <c r="L486" s="38">
        <v>0</v>
      </c>
      <c r="M486" s="38">
        <v>0</v>
      </c>
      <c r="N486" s="39">
        <f t="shared" si="290"/>
        <v>65530</v>
      </c>
      <c r="O486" s="37">
        <f>100000*80%</f>
        <v>80000</v>
      </c>
      <c r="P486" s="60">
        <v>198975.1</v>
      </c>
      <c r="Q486" s="78">
        <f t="shared" si="291"/>
        <v>0</v>
      </c>
      <c r="R486" s="37"/>
      <c r="S486" s="181"/>
      <c r="T486" s="78"/>
      <c r="U486" s="78">
        <v>0</v>
      </c>
      <c r="V486" s="78"/>
      <c r="W486" s="183">
        <f>100000-70000</f>
        <v>30000</v>
      </c>
      <c r="X486" s="320"/>
      <c r="Y486" s="320"/>
      <c r="Z486" s="353"/>
      <c r="AA486" s="37"/>
      <c r="AB486" s="37">
        <v>100000</v>
      </c>
    </row>
    <row r="487" spans="1:28" hidden="1" x14ac:dyDescent="0.2">
      <c r="A487" s="46"/>
      <c r="B487" s="47"/>
      <c r="C487" s="14"/>
      <c r="D487" s="36" t="s">
        <v>305</v>
      </c>
      <c r="E487" s="15" t="s">
        <v>46</v>
      </c>
      <c r="F487" s="14"/>
      <c r="G487" s="14" t="s">
        <v>127</v>
      </c>
      <c r="H487" s="37"/>
      <c r="I487" s="37"/>
      <c r="J487" s="37"/>
      <c r="K487" s="38"/>
      <c r="L487" s="38"/>
      <c r="M487" s="38"/>
      <c r="N487" s="39"/>
      <c r="O487" s="37"/>
      <c r="P487" s="60">
        <v>0</v>
      </c>
      <c r="Q487" s="37">
        <f>R487+S487+T487+U487</f>
        <v>0</v>
      </c>
      <c r="R487" s="37">
        <v>0</v>
      </c>
      <c r="S487" s="78"/>
      <c r="T487" s="78"/>
      <c r="U487" s="78"/>
      <c r="V487" s="78"/>
      <c r="W487" s="37">
        <f>P487+Q487</f>
        <v>0</v>
      </c>
      <c r="X487" s="320"/>
      <c r="Y487" s="320"/>
      <c r="Z487" s="353"/>
      <c r="AA487" s="37">
        <v>0</v>
      </c>
      <c r="AB487" s="37">
        <f>U487+V487</f>
        <v>0</v>
      </c>
    </row>
    <row r="488" spans="1:28" ht="63.75" x14ac:dyDescent="0.2">
      <c r="A488" s="22" t="s">
        <v>326</v>
      </c>
      <c r="B488" s="23">
        <v>804</v>
      </c>
      <c r="C488" s="24" t="s">
        <v>302</v>
      </c>
      <c r="D488" s="24" t="s">
        <v>461</v>
      </c>
      <c r="E488" s="25" t="s">
        <v>19</v>
      </c>
      <c r="F488" s="24"/>
      <c r="G488" s="24"/>
      <c r="H488" s="26">
        <f t="shared" ref="H488:N488" si="294">H489+H491+H494+H497+H503</f>
        <v>500000</v>
      </c>
      <c r="I488" s="26">
        <f t="shared" si="294"/>
        <v>-197625.04</v>
      </c>
      <c r="J488" s="26">
        <f t="shared" si="294"/>
        <v>-197625.04</v>
      </c>
      <c r="K488" s="27">
        <f t="shared" si="294"/>
        <v>0</v>
      </c>
      <c r="L488" s="27">
        <f t="shared" si="294"/>
        <v>0</v>
      </c>
      <c r="M488" s="27">
        <f t="shared" si="294"/>
        <v>0</v>
      </c>
      <c r="N488" s="28">
        <f t="shared" si="294"/>
        <v>302374.95999999996</v>
      </c>
      <c r="O488" s="26">
        <f>O489+O491+O494+O497+O503</f>
        <v>400000</v>
      </c>
      <c r="P488" s="280">
        <f>P489+P491+P494+P497+P501</f>
        <v>323049.71999999997</v>
      </c>
      <c r="Q488" s="280">
        <f t="shared" ref="Q488:W488" si="295">Q489+Q491+Q494+Q497+Q501</f>
        <v>-42831.37</v>
      </c>
      <c r="R488" s="280">
        <f t="shared" si="295"/>
        <v>-42831.37</v>
      </c>
      <c r="S488" s="280">
        <f t="shared" si="295"/>
        <v>0</v>
      </c>
      <c r="T488" s="280">
        <f t="shared" si="295"/>
        <v>0</v>
      </c>
      <c r="U488" s="280">
        <f t="shared" si="295"/>
        <v>0</v>
      </c>
      <c r="V488" s="280">
        <f t="shared" si="295"/>
        <v>0</v>
      </c>
      <c r="W488" s="280">
        <f t="shared" si="295"/>
        <v>280218.34999999998</v>
      </c>
      <c r="X488" s="320"/>
      <c r="Y488" s="320"/>
      <c r="Z488" s="353"/>
      <c r="AA488" s="280">
        <f>AA489+AA491+AA494+AA497+AA503</f>
        <v>343536.39</v>
      </c>
      <c r="AB488" s="280">
        <f t="shared" ref="AB488" si="296">AB489+AB491+AB494+AB497+AB501</f>
        <v>280218.34999999998</v>
      </c>
    </row>
    <row r="489" spans="1:28" s="215" customFormat="1" x14ac:dyDescent="0.2">
      <c r="A489" s="89" t="s">
        <v>47</v>
      </c>
      <c r="B489" s="90" t="s">
        <v>131</v>
      </c>
      <c r="C489" s="49" t="s">
        <v>302</v>
      </c>
      <c r="D489" s="49" t="s">
        <v>461</v>
      </c>
      <c r="E489" s="49" t="s">
        <v>46</v>
      </c>
      <c r="F489" s="49" t="s">
        <v>48</v>
      </c>
      <c r="G489" s="49"/>
      <c r="H489" s="91">
        <f t="shared" ref="H489:W489" si="297">H490</f>
        <v>50000</v>
      </c>
      <c r="I489" s="91">
        <f t="shared" si="297"/>
        <v>0</v>
      </c>
      <c r="J489" s="91">
        <f t="shared" si="297"/>
        <v>0</v>
      </c>
      <c r="K489" s="92">
        <f t="shared" si="297"/>
        <v>0</v>
      </c>
      <c r="L489" s="92">
        <f t="shared" si="297"/>
        <v>0</v>
      </c>
      <c r="M489" s="92">
        <f t="shared" si="297"/>
        <v>0</v>
      </c>
      <c r="N489" s="93">
        <f t="shared" si="297"/>
        <v>50000</v>
      </c>
      <c r="O489" s="91">
        <f t="shared" si="297"/>
        <v>40000</v>
      </c>
      <c r="P489" s="286">
        <f t="shared" si="297"/>
        <v>26453.69</v>
      </c>
      <c r="Q489" s="286">
        <f t="shared" si="297"/>
        <v>-15000</v>
      </c>
      <c r="R489" s="286">
        <f t="shared" si="297"/>
        <v>-15000</v>
      </c>
      <c r="S489" s="286">
        <f t="shared" si="297"/>
        <v>0</v>
      </c>
      <c r="T489" s="286">
        <f t="shared" si="297"/>
        <v>0</v>
      </c>
      <c r="U489" s="286">
        <f t="shared" si="297"/>
        <v>0</v>
      </c>
      <c r="V489" s="286">
        <f t="shared" si="297"/>
        <v>0</v>
      </c>
      <c r="W489" s="286">
        <f t="shared" si="297"/>
        <v>11453.69</v>
      </c>
      <c r="X489" s="362"/>
      <c r="Y489" s="320"/>
      <c r="Z489" s="363"/>
      <c r="AA489" s="286">
        <f>AA490</f>
        <v>11453.69</v>
      </c>
      <c r="AB489" s="286">
        <f t="shared" ref="AB489" si="298">AB490</f>
        <v>11453.69</v>
      </c>
    </row>
    <row r="490" spans="1:28" ht="38.25" x14ac:dyDescent="0.2">
      <c r="A490" s="12" t="s">
        <v>132</v>
      </c>
      <c r="B490" s="45"/>
      <c r="C490" s="14"/>
      <c r="D490" s="14"/>
      <c r="E490" s="15"/>
      <c r="F490" s="14"/>
      <c r="G490" s="14" t="s">
        <v>49</v>
      </c>
      <c r="H490" s="37">
        <v>50000</v>
      </c>
      <c r="I490" s="37">
        <f>SUM(J490:M490)</f>
        <v>0</v>
      </c>
      <c r="J490" s="37"/>
      <c r="K490" s="38"/>
      <c r="L490" s="38"/>
      <c r="M490" s="38"/>
      <c r="N490" s="39">
        <f>H490+I490</f>
        <v>50000</v>
      </c>
      <c r="O490" s="37">
        <f>50000*80%</f>
        <v>40000</v>
      </c>
      <c r="P490" s="60">
        <v>26453.69</v>
      </c>
      <c r="Q490" s="37">
        <f>R490+S490+T490+U490+V490</f>
        <v>-15000</v>
      </c>
      <c r="R490" s="37">
        <v>-15000</v>
      </c>
      <c r="S490" s="37"/>
      <c r="T490" s="37"/>
      <c r="U490" s="37"/>
      <c r="V490" s="37"/>
      <c r="W490" s="183">
        <v>11453.69</v>
      </c>
      <c r="X490" s="320">
        <f>11453.69-W490</f>
        <v>0</v>
      </c>
      <c r="Y490" s="320"/>
      <c r="Z490" s="353"/>
      <c r="AA490" s="37">
        <v>11453.69</v>
      </c>
      <c r="AB490" s="37">
        <v>11453.69</v>
      </c>
    </row>
    <row r="491" spans="1:28" s="58" customFormat="1" x14ac:dyDescent="0.2">
      <c r="A491" s="54" t="s">
        <v>50</v>
      </c>
      <c r="B491" s="90" t="s">
        <v>131</v>
      </c>
      <c r="C491" s="49" t="s">
        <v>302</v>
      </c>
      <c r="D491" s="49" t="s">
        <v>461</v>
      </c>
      <c r="E491" s="50" t="s">
        <v>46</v>
      </c>
      <c r="F491" s="49" t="s">
        <v>51</v>
      </c>
      <c r="G491" s="49"/>
      <c r="H491" s="91">
        <f t="shared" ref="H491:N491" si="299">SUM(H492:H493)</f>
        <v>0</v>
      </c>
      <c r="I491" s="91">
        <f t="shared" si="299"/>
        <v>80000</v>
      </c>
      <c r="J491" s="91">
        <f t="shared" si="299"/>
        <v>80000</v>
      </c>
      <c r="K491" s="91">
        <f t="shared" si="299"/>
        <v>0</v>
      </c>
      <c r="L491" s="91">
        <f t="shared" si="299"/>
        <v>0</v>
      </c>
      <c r="M491" s="91">
        <f t="shared" si="299"/>
        <v>0</v>
      </c>
      <c r="N491" s="91">
        <f t="shared" si="299"/>
        <v>80000</v>
      </c>
      <c r="O491" s="91">
        <f>SUM(O492:O493)</f>
        <v>0</v>
      </c>
      <c r="P491" s="286">
        <f>SUM(P492:P493)</f>
        <v>4384</v>
      </c>
      <c r="Q491" s="286">
        <f t="shared" ref="Q491:W491" si="300">SUM(Q492:Q493)</f>
        <v>0</v>
      </c>
      <c r="R491" s="286">
        <f t="shared" si="300"/>
        <v>0</v>
      </c>
      <c r="S491" s="286">
        <f t="shared" si="300"/>
        <v>0</v>
      </c>
      <c r="T491" s="286">
        <f t="shared" si="300"/>
        <v>0</v>
      </c>
      <c r="U491" s="286">
        <f t="shared" si="300"/>
        <v>0</v>
      </c>
      <c r="V491" s="286">
        <f t="shared" si="300"/>
        <v>0</v>
      </c>
      <c r="W491" s="395">
        <f t="shared" si="300"/>
        <v>4384</v>
      </c>
      <c r="X491" s="321"/>
      <c r="Y491" s="320"/>
      <c r="Z491" s="356"/>
      <c r="AA491" s="286">
        <f>SUM(AA492:AA493)</f>
        <v>4384</v>
      </c>
      <c r="AB491" s="286">
        <f t="shared" ref="AB491" si="301">SUM(AB492:AB493)</f>
        <v>4384</v>
      </c>
    </row>
    <row r="492" spans="1:28" x14ac:dyDescent="0.2">
      <c r="A492" s="12" t="s">
        <v>288</v>
      </c>
      <c r="B492" s="45"/>
      <c r="C492" s="14"/>
      <c r="D492" s="14"/>
      <c r="E492" s="15"/>
      <c r="F492" s="14"/>
      <c r="G492" s="14" t="s">
        <v>101</v>
      </c>
      <c r="H492" s="37">
        <v>0</v>
      </c>
      <c r="I492" s="37">
        <f>SUM(J492:M492)</f>
        <v>0</v>
      </c>
      <c r="J492" s="37"/>
      <c r="K492" s="38"/>
      <c r="L492" s="38"/>
      <c r="M492" s="38"/>
      <c r="N492" s="39">
        <f>H492+I492</f>
        <v>0</v>
      </c>
      <c r="O492" s="37">
        <v>0</v>
      </c>
      <c r="P492" s="60">
        <v>4384</v>
      </c>
      <c r="Q492" s="37">
        <f>R492+S492+T492+U492+V492</f>
        <v>0</v>
      </c>
      <c r="R492" s="37"/>
      <c r="S492" s="37"/>
      <c r="T492" s="37"/>
      <c r="U492" s="37"/>
      <c r="V492" s="37"/>
      <c r="W492" s="183">
        <v>4384</v>
      </c>
      <c r="X492" s="320"/>
      <c r="Y492" s="320"/>
      <c r="Z492" s="353"/>
      <c r="AA492" s="37">
        <v>4384</v>
      </c>
      <c r="AB492" s="37">
        <v>4384</v>
      </c>
    </row>
    <row r="493" spans="1:28" hidden="1" x14ac:dyDescent="0.2">
      <c r="A493" s="12" t="s">
        <v>288</v>
      </c>
      <c r="B493" s="45"/>
      <c r="C493" s="14"/>
      <c r="D493" s="14"/>
      <c r="E493" s="15"/>
      <c r="F493" s="14"/>
      <c r="G493" s="14" t="s">
        <v>56</v>
      </c>
      <c r="H493" s="37">
        <v>0</v>
      </c>
      <c r="I493" s="37">
        <f>SUM(J493:M493)</f>
        <v>80000</v>
      </c>
      <c r="J493" s="37">
        <v>80000</v>
      </c>
      <c r="K493" s="38"/>
      <c r="L493" s="38"/>
      <c r="M493" s="38"/>
      <c r="N493" s="39">
        <f>H493+I493</f>
        <v>80000</v>
      </c>
      <c r="O493" s="37">
        <v>0</v>
      </c>
      <c r="P493" s="60">
        <v>0</v>
      </c>
      <c r="Q493" s="37"/>
      <c r="R493" s="37"/>
      <c r="S493" s="37"/>
      <c r="T493" s="37"/>
      <c r="U493" s="37"/>
      <c r="V493" s="37"/>
      <c r="W493" s="183"/>
      <c r="X493" s="320"/>
      <c r="Y493" s="320"/>
      <c r="Z493" s="353"/>
      <c r="AA493" s="37"/>
      <c r="AB493" s="37"/>
    </row>
    <row r="494" spans="1:28" s="216" customFormat="1" x14ac:dyDescent="0.2">
      <c r="A494" s="89" t="s">
        <v>57</v>
      </c>
      <c r="B494" s="90" t="s">
        <v>131</v>
      </c>
      <c r="C494" s="49" t="s">
        <v>302</v>
      </c>
      <c r="D494" s="49" t="s">
        <v>461</v>
      </c>
      <c r="E494" s="49" t="s">
        <v>46</v>
      </c>
      <c r="F494" s="49" t="s">
        <v>58</v>
      </c>
      <c r="G494" s="49"/>
      <c r="H494" s="91">
        <f t="shared" ref="H494:N494" si="302">SUM(H495:H496)</f>
        <v>150000</v>
      </c>
      <c r="I494" s="91">
        <f t="shared" si="302"/>
        <v>-277695</v>
      </c>
      <c r="J494" s="91">
        <f t="shared" si="302"/>
        <v>-277695</v>
      </c>
      <c r="K494" s="92">
        <f t="shared" si="302"/>
        <v>0</v>
      </c>
      <c r="L494" s="92">
        <f t="shared" si="302"/>
        <v>0</v>
      </c>
      <c r="M494" s="92">
        <f t="shared" si="302"/>
        <v>0</v>
      </c>
      <c r="N494" s="93">
        <f t="shared" si="302"/>
        <v>-127695</v>
      </c>
      <c r="O494" s="91">
        <f>SUM(O495:O496)</f>
        <v>120000</v>
      </c>
      <c r="P494" s="286">
        <f>SUM(P495:P496)</f>
        <v>92028.15</v>
      </c>
      <c r="Q494" s="286">
        <f t="shared" ref="Q494:W494" si="303">SUM(Q495:Q496)</f>
        <v>5892.07</v>
      </c>
      <c r="R494" s="286">
        <f t="shared" si="303"/>
        <v>5892.07</v>
      </c>
      <c r="S494" s="286">
        <f t="shared" si="303"/>
        <v>0</v>
      </c>
      <c r="T494" s="286">
        <f t="shared" si="303"/>
        <v>0</v>
      </c>
      <c r="U494" s="286">
        <f t="shared" si="303"/>
        <v>0</v>
      </c>
      <c r="V494" s="286">
        <f t="shared" si="303"/>
        <v>0</v>
      </c>
      <c r="W494" s="395">
        <f t="shared" si="303"/>
        <v>97920.22</v>
      </c>
      <c r="X494" s="364"/>
      <c r="Y494" s="320"/>
      <c r="Z494" s="365"/>
      <c r="AA494" s="286">
        <f>SUM(AA495:AA496)</f>
        <v>86912.37000000001</v>
      </c>
      <c r="AB494" s="286">
        <f t="shared" ref="AB494" si="304">SUM(AB495:AB496)</f>
        <v>97920.22</v>
      </c>
    </row>
    <row r="495" spans="1:28" x14ac:dyDescent="0.2">
      <c r="A495" s="12" t="s">
        <v>327</v>
      </c>
      <c r="B495" s="13"/>
      <c r="C495" s="14"/>
      <c r="D495" s="14"/>
      <c r="E495" s="15"/>
      <c r="F495" s="14"/>
      <c r="G495" s="14" t="s">
        <v>317</v>
      </c>
      <c r="H495" s="37">
        <v>50000</v>
      </c>
      <c r="I495" s="37">
        <f>SUM(J495:M495)</f>
        <v>0</v>
      </c>
      <c r="J495" s="37"/>
      <c r="K495" s="38"/>
      <c r="L495" s="38"/>
      <c r="M495" s="38"/>
      <c r="N495" s="39">
        <f>H495+I495</f>
        <v>50000</v>
      </c>
      <c r="O495" s="37">
        <f>50000*80%</f>
        <v>40000</v>
      </c>
      <c r="P495" s="60">
        <v>62615.78</v>
      </c>
      <c r="Q495" s="37">
        <f>R495+S495+T495+U495+V495</f>
        <v>0</v>
      </c>
      <c r="R495" s="37"/>
      <c r="S495" s="217"/>
      <c r="T495" s="217">
        <v>0</v>
      </c>
      <c r="U495" s="217"/>
      <c r="V495" s="217"/>
      <c r="W495" s="183">
        <v>62615.78</v>
      </c>
      <c r="X495" s="320"/>
      <c r="Y495" s="320"/>
      <c r="Z495" s="353"/>
      <c r="AA495" s="37">
        <v>8769.91</v>
      </c>
      <c r="AB495" s="37">
        <v>62615.78</v>
      </c>
    </row>
    <row r="496" spans="1:28" x14ac:dyDescent="0.2">
      <c r="A496" s="12" t="s">
        <v>57</v>
      </c>
      <c r="B496" s="13"/>
      <c r="C496" s="14"/>
      <c r="D496" s="14"/>
      <c r="E496" s="15"/>
      <c r="F496" s="14"/>
      <c r="G496" s="14" t="s">
        <v>64</v>
      </c>
      <c r="H496" s="37">
        <v>100000</v>
      </c>
      <c r="I496" s="37">
        <f>SUM(J496:M496)</f>
        <v>-277695</v>
      </c>
      <c r="J496" s="37">
        <f>-80000-97695-100000</f>
        <v>-277695</v>
      </c>
      <c r="K496" s="38">
        <v>0</v>
      </c>
      <c r="L496" s="38">
        <v>0</v>
      </c>
      <c r="M496" s="38">
        <v>0</v>
      </c>
      <c r="N496" s="39">
        <f>H496+I496</f>
        <v>-177695</v>
      </c>
      <c r="O496" s="37">
        <f>100000*80%</f>
        <v>80000</v>
      </c>
      <c r="P496" s="60">
        <v>29412.37</v>
      </c>
      <c r="Q496" s="37">
        <f>R496+S496+T496+U496+V496</f>
        <v>5892.07</v>
      </c>
      <c r="R496" s="37">
        <v>5892.07</v>
      </c>
      <c r="S496" s="217"/>
      <c r="T496" s="217"/>
      <c r="U496" s="217"/>
      <c r="V496" s="217"/>
      <c r="W496" s="183">
        <v>35304.44</v>
      </c>
      <c r="X496" s="320">
        <f>35304.44-W496</f>
        <v>0</v>
      </c>
      <c r="Y496" s="320"/>
      <c r="Z496" s="353"/>
      <c r="AA496" s="37">
        <v>78142.460000000006</v>
      </c>
      <c r="AB496" s="37">
        <v>35304.44</v>
      </c>
    </row>
    <row r="497" spans="1:28" s="222" customFormat="1" x14ac:dyDescent="0.2">
      <c r="A497" s="218" t="s">
        <v>65</v>
      </c>
      <c r="B497" s="179" t="s">
        <v>131</v>
      </c>
      <c r="C497" s="31" t="s">
        <v>302</v>
      </c>
      <c r="D497" s="49" t="s">
        <v>461</v>
      </c>
      <c r="E497" s="31" t="s">
        <v>46</v>
      </c>
      <c r="F497" s="31" t="s">
        <v>496</v>
      </c>
      <c r="G497" s="31"/>
      <c r="H497" s="219">
        <f t="shared" ref="H497:N497" si="305">SUM(H498:H500)</f>
        <v>200000</v>
      </c>
      <c r="I497" s="219">
        <f t="shared" si="305"/>
        <v>8210</v>
      </c>
      <c r="J497" s="219">
        <f t="shared" si="305"/>
        <v>8210</v>
      </c>
      <c r="K497" s="220">
        <f t="shared" si="305"/>
        <v>0</v>
      </c>
      <c r="L497" s="220">
        <f t="shared" si="305"/>
        <v>0</v>
      </c>
      <c r="M497" s="220">
        <f t="shared" si="305"/>
        <v>0</v>
      </c>
      <c r="N497" s="221">
        <f t="shared" si="305"/>
        <v>208210</v>
      </c>
      <c r="O497" s="219">
        <f>SUM(O498:O500)</f>
        <v>160000</v>
      </c>
      <c r="P497" s="227">
        <f>SUM(P498:P500)</f>
        <v>45002</v>
      </c>
      <c r="Q497" s="227">
        <f t="shared" ref="Q497:W497" si="306">SUM(Q498:Q500)</f>
        <v>-3112</v>
      </c>
      <c r="R497" s="227">
        <f>SUM(R498:R500)</f>
        <v>-3112</v>
      </c>
      <c r="S497" s="227">
        <f t="shared" si="306"/>
        <v>0</v>
      </c>
      <c r="T497" s="227">
        <f t="shared" si="306"/>
        <v>0</v>
      </c>
      <c r="U497" s="227">
        <f t="shared" si="306"/>
        <v>0</v>
      </c>
      <c r="V497" s="227">
        <f t="shared" si="306"/>
        <v>0</v>
      </c>
      <c r="W497" s="396">
        <f t="shared" si="306"/>
        <v>41890</v>
      </c>
      <c r="X497" s="366"/>
      <c r="Y497" s="320"/>
      <c r="Z497" s="367"/>
      <c r="AA497" s="227">
        <f>SUM(AA498:AA500)</f>
        <v>83002</v>
      </c>
      <c r="AB497" s="227">
        <f t="shared" ref="AB497" si="307">SUM(AB498:AB500)</f>
        <v>41890</v>
      </c>
    </row>
    <row r="498" spans="1:28" ht="25.5" x14ac:dyDescent="0.2">
      <c r="A498" s="44" t="s">
        <v>322</v>
      </c>
      <c r="B498" s="45"/>
      <c r="C498" s="14"/>
      <c r="D498" s="14"/>
      <c r="E498" s="15"/>
      <c r="F498" s="14"/>
      <c r="G498" s="14" t="s">
        <v>166</v>
      </c>
      <c r="H498" s="37">
        <v>100000</v>
      </c>
      <c r="I498" s="37">
        <f>SUM(J498:M498)</f>
        <v>0</v>
      </c>
      <c r="J498" s="37">
        <v>0</v>
      </c>
      <c r="K498" s="38">
        <v>0</v>
      </c>
      <c r="L498" s="38">
        <v>0</v>
      </c>
      <c r="M498" s="38">
        <v>0</v>
      </c>
      <c r="N498" s="39">
        <f>H498+I498</f>
        <v>100000</v>
      </c>
      <c r="O498" s="37">
        <f>100000*80%</f>
        <v>80000</v>
      </c>
      <c r="P498" s="60">
        <v>28485</v>
      </c>
      <c r="Q498" s="37">
        <f>R498+S498+T498+U498+V498</f>
        <v>13405</v>
      </c>
      <c r="R498" s="37">
        <v>13405</v>
      </c>
      <c r="S498" s="217"/>
      <c r="T498" s="217"/>
      <c r="U498" s="217"/>
      <c r="V498" s="217"/>
      <c r="W498" s="183">
        <v>41890</v>
      </c>
      <c r="X498" s="320">
        <f>41890-W498</f>
        <v>0</v>
      </c>
      <c r="Y498" s="320"/>
      <c r="Z498" s="353"/>
      <c r="AA498" s="37">
        <v>68485</v>
      </c>
      <c r="AB498" s="37">
        <v>41890</v>
      </c>
    </row>
    <row r="499" spans="1:28" ht="25.5" hidden="1" x14ac:dyDescent="0.2">
      <c r="A499" s="44" t="s">
        <v>67</v>
      </c>
      <c r="B499" s="45"/>
      <c r="C499" s="14"/>
      <c r="D499" s="14"/>
      <c r="E499" s="15"/>
      <c r="F499" s="14"/>
      <c r="G499" s="14" t="s">
        <v>68</v>
      </c>
      <c r="H499" s="37">
        <v>0</v>
      </c>
      <c r="I499" s="37">
        <f>SUM(J499:M499)</f>
        <v>79470</v>
      </c>
      <c r="J499" s="37">
        <v>79470</v>
      </c>
      <c r="K499" s="38">
        <v>0</v>
      </c>
      <c r="L499" s="38">
        <v>0</v>
      </c>
      <c r="M499" s="38">
        <v>0</v>
      </c>
      <c r="N499" s="39">
        <f>H499+I499</f>
        <v>79470</v>
      </c>
      <c r="O499" s="37">
        <v>0</v>
      </c>
      <c r="P499" s="60">
        <v>16517</v>
      </c>
      <c r="Q499" s="37">
        <f>R499+S499+T499+U499+V499</f>
        <v>-16517</v>
      </c>
      <c r="R499" s="37">
        <v>-16517</v>
      </c>
      <c r="S499" s="217"/>
      <c r="T499" s="217"/>
      <c r="U499" s="217"/>
      <c r="V499" s="217"/>
      <c r="W499" s="183">
        <f>P499+Q499</f>
        <v>0</v>
      </c>
      <c r="X499" s="320"/>
      <c r="Y499" s="320"/>
      <c r="Z499" s="353"/>
      <c r="AA499" s="37">
        <v>4517</v>
      </c>
      <c r="AB499" s="37">
        <f>U499+V499</f>
        <v>0</v>
      </c>
    </row>
    <row r="500" spans="1:28" hidden="1" x14ac:dyDescent="0.2">
      <c r="A500" s="44" t="s">
        <v>65</v>
      </c>
      <c r="B500" s="45"/>
      <c r="C500" s="14"/>
      <c r="D500" s="14"/>
      <c r="E500" s="15"/>
      <c r="F500" s="14"/>
      <c r="G500" s="14" t="s">
        <v>69</v>
      </c>
      <c r="H500" s="37">
        <v>100000</v>
      </c>
      <c r="I500" s="37">
        <f>SUM(J500:M500)</f>
        <v>-71260</v>
      </c>
      <c r="J500" s="37">
        <v>-71260</v>
      </c>
      <c r="K500" s="38">
        <v>0</v>
      </c>
      <c r="L500" s="38">
        <v>0</v>
      </c>
      <c r="M500" s="38">
        <v>0</v>
      </c>
      <c r="N500" s="39">
        <f>H500+I500</f>
        <v>28740</v>
      </c>
      <c r="O500" s="37">
        <f>100000*80%</f>
        <v>80000</v>
      </c>
      <c r="P500" s="60">
        <v>0</v>
      </c>
      <c r="Q500" s="37">
        <f>R500+S500+T500+U500+V500</f>
        <v>0</v>
      </c>
      <c r="R500" s="37"/>
      <c r="S500" s="217"/>
      <c r="T500" s="217"/>
      <c r="U500" s="217"/>
      <c r="V500" s="217"/>
      <c r="W500" s="183">
        <f>P500+Q500</f>
        <v>0</v>
      </c>
      <c r="X500" s="320"/>
      <c r="Y500" s="320"/>
      <c r="Z500" s="353"/>
      <c r="AA500" s="37">
        <v>10000</v>
      </c>
      <c r="AB500" s="37">
        <f>U500+V500</f>
        <v>0</v>
      </c>
    </row>
    <row r="501" spans="1:28" x14ac:dyDescent="0.2">
      <c r="A501" s="29" t="s">
        <v>70</v>
      </c>
      <c r="B501" s="179" t="s">
        <v>131</v>
      </c>
      <c r="C501" s="31" t="s">
        <v>302</v>
      </c>
      <c r="D501" s="49" t="s">
        <v>461</v>
      </c>
      <c r="E501" s="50" t="s">
        <v>19</v>
      </c>
      <c r="F501" s="49" t="s">
        <v>71</v>
      </c>
      <c r="G501" s="14"/>
      <c r="H501" s="37"/>
      <c r="I501" s="37"/>
      <c r="J501" s="37"/>
      <c r="K501" s="38"/>
      <c r="L501" s="38"/>
      <c r="M501" s="38"/>
      <c r="N501" s="63"/>
      <c r="O501" s="37"/>
      <c r="P501" s="282">
        <f>P502+P503</f>
        <v>155181.88</v>
      </c>
      <c r="Q501" s="282">
        <f t="shared" ref="Q501:V501" si="308">Q502+Q503</f>
        <v>-30611.440000000002</v>
      </c>
      <c r="R501" s="282">
        <f t="shared" si="308"/>
        <v>-30611.440000000002</v>
      </c>
      <c r="S501" s="282">
        <f>S502+S503</f>
        <v>0</v>
      </c>
      <c r="T501" s="282">
        <f t="shared" si="308"/>
        <v>0</v>
      </c>
      <c r="U501" s="282">
        <f t="shared" si="308"/>
        <v>0</v>
      </c>
      <c r="V501" s="282">
        <f t="shared" si="308"/>
        <v>0</v>
      </c>
      <c r="W501" s="397">
        <f>W502+W503</f>
        <v>124570.44</v>
      </c>
      <c r="X501" s="320"/>
      <c r="Y501" s="320"/>
      <c r="Z501" s="353"/>
      <c r="AA501" s="37"/>
      <c r="AB501" s="282">
        <f>AB502+AB503</f>
        <v>124570.44</v>
      </c>
    </row>
    <row r="502" spans="1:28" ht="38.25" x14ac:dyDescent="0.2">
      <c r="A502" s="46" t="s">
        <v>323</v>
      </c>
      <c r="B502" s="45"/>
      <c r="C502" s="14"/>
      <c r="D502" s="14"/>
      <c r="E502" s="15" t="s">
        <v>46</v>
      </c>
      <c r="F502" s="14" t="s">
        <v>73</v>
      </c>
      <c r="G502" s="14" t="s">
        <v>75</v>
      </c>
      <c r="H502" s="37"/>
      <c r="I502" s="37"/>
      <c r="J502" s="37"/>
      <c r="K502" s="38"/>
      <c r="L502" s="38"/>
      <c r="M502" s="38"/>
      <c r="N502" s="63"/>
      <c r="O502" s="37"/>
      <c r="P502" s="60">
        <v>59815</v>
      </c>
      <c r="Q502" s="37">
        <f>R502+S502+T502+V502</f>
        <v>-15000</v>
      </c>
      <c r="R502" s="37">
        <v>-15000</v>
      </c>
      <c r="S502" s="217"/>
      <c r="T502" s="217"/>
      <c r="U502" s="217"/>
      <c r="V502" s="217"/>
      <c r="W502" s="183">
        <v>44815</v>
      </c>
      <c r="X502" s="320">
        <f>44815-W502</f>
        <v>0</v>
      </c>
      <c r="Y502" s="320"/>
      <c r="Z502" s="353"/>
      <c r="AA502" s="37"/>
      <c r="AB502" s="37">
        <v>44815</v>
      </c>
    </row>
    <row r="503" spans="1:28" s="215" customFormat="1" x14ac:dyDescent="0.2">
      <c r="A503" s="89" t="s">
        <v>76</v>
      </c>
      <c r="B503" s="90" t="s">
        <v>131</v>
      </c>
      <c r="C503" s="49" t="s">
        <v>302</v>
      </c>
      <c r="D503" s="49" t="s">
        <v>461</v>
      </c>
      <c r="E503" s="49" t="s">
        <v>46</v>
      </c>
      <c r="F503" s="49" t="s">
        <v>77</v>
      </c>
      <c r="G503" s="49"/>
      <c r="H503" s="91">
        <f t="shared" ref="H503:O503" si="309">SUM(H504:H507)</f>
        <v>100000</v>
      </c>
      <c r="I503" s="91">
        <f t="shared" si="309"/>
        <v>-8140.0400000000009</v>
      </c>
      <c r="J503" s="91">
        <f t="shared" si="309"/>
        <v>-8140.0400000000009</v>
      </c>
      <c r="K503" s="91">
        <f t="shared" si="309"/>
        <v>0</v>
      </c>
      <c r="L503" s="91">
        <f t="shared" si="309"/>
        <v>0</v>
      </c>
      <c r="M503" s="91">
        <f t="shared" si="309"/>
        <v>0</v>
      </c>
      <c r="N503" s="91">
        <f t="shared" si="309"/>
        <v>91859.959999999992</v>
      </c>
      <c r="O503" s="91">
        <f t="shared" si="309"/>
        <v>80000</v>
      </c>
      <c r="P503" s="282">
        <f>SUM(P504:P510)</f>
        <v>95366.88</v>
      </c>
      <c r="Q503" s="286">
        <f t="shared" ref="Q503:W503" si="310">SUM(Q504:Q510)</f>
        <v>-15611.44</v>
      </c>
      <c r="R503" s="286">
        <f t="shared" si="310"/>
        <v>-15611.44</v>
      </c>
      <c r="S503" s="286">
        <f t="shared" si="310"/>
        <v>0</v>
      </c>
      <c r="T503" s="286">
        <f t="shared" si="310"/>
        <v>0</v>
      </c>
      <c r="U503" s="286">
        <f t="shared" si="310"/>
        <v>0</v>
      </c>
      <c r="V503" s="286">
        <f t="shared" si="310"/>
        <v>0</v>
      </c>
      <c r="W503" s="395">
        <f t="shared" si="310"/>
        <v>79755.44</v>
      </c>
      <c r="X503" s="362"/>
      <c r="Y503" s="320"/>
      <c r="Z503" s="363"/>
      <c r="AA503" s="286">
        <f>SUM(AA504:AA510)</f>
        <v>157784.33000000002</v>
      </c>
      <c r="AB503" s="286">
        <f t="shared" ref="AB503" si="311">SUM(AB504:AB510)</f>
        <v>79755.44</v>
      </c>
    </row>
    <row r="504" spans="1:28" s="216" customFormat="1" x14ac:dyDescent="0.2">
      <c r="A504" s="223" t="s">
        <v>324</v>
      </c>
      <c r="B504" s="214"/>
      <c r="C504" s="36"/>
      <c r="D504" s="36"/>
      <c r="E504" s="36" t="s">
        <v>46</v>
      </c>
      <c r="F504" s="36"/>
      <c r="G504" s="36" t="s">
        <v>325</v>
      </c>
      <c r="H504" s="217">
        <v>0</v>
      </c>
      <c r="I504" s="37">
        <f>SUM(J504:M504)</f>
        <v>18225</v>
      </c>
      <c r="J504" s="217">
        <v>18225</v>
      </c>
      <c r="K504" s="224"/>
      <c r="L504" s="224"/>
      <c r="M504" s="224"/>
      <c r="N504" s="39">
        <f>H504+I504</f>
        <v>18225</v>
      </c>
      <c r="O504" s="217">
        <v>0</v>
      </c>
      <c r="P504" s="73">
        <v>30000</v>
      </c>
      <c r="Q504" s="217">
        <f>R504+S504+T504+U504+V504</f>
        <v>0</v>
      </c>
      <c r="R504" s="217"/>
      <c r="S504" s="217"/>
      <c r="T504" s="217"/>
      <c r="U504" s="217"/>
      <c r="V504" s="217"/>
      <c r="W504" s="183">
        <v>30000</v>
      </c>
      <c r="X504" s="364"/>
      <c r="Y504" s="320"/>
      <c r="Z504" s="365"/>
      <c r="AA504" s="217">
        <v>30000</v>
      </c>
      <c r="AB504" s="37">
        <v>30000</v>
      </c>
    </row>
    <row r="505" spans="1:28" s="216" customFormat="1" hidden="1" x14ac:dyDescent="0.2">
      <c r="A505" s="223" t="s">
        <v>134</v>
      </c>
      <c r="B505" s="214"/>
      <c r="C505" s="36"/>
      <c r="D505" s="36"/>
      <c r="E505" s="36" t="s">
        <v>46</v>
      </c>
      <c r="F505" s="36"/>
      <c r="G505" s="36" t="s">
        <v>127</v>
      </c>
      <c r="H505" s="217"/>
      <c r="I505" s="37"/>
      <c r="J505" s="217"/>
      <c r="K505" s="224"/>
      <c r="L505" s="224"/>
      <c r="M505" s="224"/>
      <c r="N505" s="39"/>
      <c r="O505" s="217"/>
      <c r="P505" s="73">
        <v>0</v>
      </c>
      <c r="Q505" s="217">
        <f t="shared" ref="Q505:Q510" si="312">R505+S505+T505+U505+V505</f>
        <v>0</v>
      </c>
      <c r="R505" s="217">
        <v>0</v>
      </c>
      <c r="S505" s="217"/>
      <c r="T505" s="217"/>
      <c r="U505" s="217"/>
      <c r="V505" s="217"/>
      <c r="W505" s="183">
        <f t="shared" ref="W505:W509" si="313">P505+Q505</f>
        <v>0</v>
      </c>
      <c r="X505" s="364"/>
      <c r="Y505" s="320"/>
      <c r="Z505" s="365"/>
      <c r="AA505" s="217">
        <v>0</v>
      </c>
      <c r="AB505" s="37">
        <f t="shared" ref="AB505:AB509" si="314">U505+V505</f>
        <v>0</v>
      </c>
    </row>
    <row r="506" spans="1:28" ht="25.5" hidden="1" x14ac:dyDescent="0.2">
      <c r="A506" s="46" t="s">
        <v>328</v>
      </c>
      <c r="B506" s="154"/>
      <c r="C506" s="14"/>
      <c r="D506" s="14"/>
      <c r="E506" s="15" t="s">
        <v>44</v>
      </c>
      <c r="F506" s="14"/>
      <c r="G506" s="14" t="s">
        <v>81</v>
      </c>
      <c r="H506" s="37">
        <v>0</v>
      </c>
      <c r="I506" s="37">
        <f>SUM(J506:M506)</f>
        <v>-26365.040000000001</v>
      </c>
      <c r="J506" s="37">
        <v>-26365.040000000001</v>
      </c>
      <c r="K506" s="38"/>
      <c r="L506" s="38"/>
      <c r="M506" s="38">
        <v>0</v>
      </c>
      <c r="N506" s="39">
        <f>H506+I506</f>
        <v>-26365.040000000001</v>
      </c>
      <c r="O506" s="37">
        <v>0</v>
      </c>
      <c r="P506" s="60">
        <v>4000</v>
      </c>
      <c r="Q506" s="217">
        <f t="shared" si="312"/>
        <v>-4000</v>
      </c>
      <c r="R506" s="37">
        <v>-4000</v>
      </c>
      <c r="S506" s="217"/>
      <c r="T506" s="217"/>
      <c r="U506" s="217"/>
      <c r="V506" s="217"/>
      <c r="W506" s="183">
        <v>0</v>
      </c>
      <c r="X506" s="320"/>
      <c r="Y506" s="320"/>
      <c r="Z506" s="353"/>
      <c r="AA506" s="37">
        <v>4000</v>
      </c>
      <c r="AB506" s="37">
        <v>0</v>
      </c>
    </row>
    <row r="507" spans="1:28" ht="25.5" x14ac:dyDescent="0.2">
      <c r="A507" s="46" t="s">
        <v>328</v>
      </c>
      <c r="B507" s="154"/>
      <c r="C507" s="14"/>
      <c r="D507" s="14"/>
      <c r="E507" s="15" t="s">
        <v>46</v>
      </c>
      <c r="F507" s="14"/>
      <c r="G507" s="14" t="s">
        <v>81</v>
      </c>
      <c r="H507" s="37">
        <v>100000</v>
      </c>
      <c r="I507" s="37">
        <f>SUM(J507:M507)</f>
        <v>0</v>
      </c>
      <c r="J507" s="37">
        <v>0</v>
      </c>
      <c r="K507" s="38">
        <v>0</v>
      </c>
      <c r="L507" s="38">
        <v>0</v>
      </c>
      <c r="M507" s="38">
        <v>0</v>
      </c>
      <c r="N507" s="39">
        <f>H507+I507</f>
        <v>100000</v>
      </c>
      <c r="O507" s="37">
        <f>100000*80%</f>
        <v>80000</v>
      </c>
      <c r="P507" s="60">
        <v>56589.88</v>
      </c>
      <c r="Q507" s="217">
        <f t="shared" si="312"/>
        <v>-11611.44</v>
      </c>
      <c r="R507" s="37">
        <v>-11611.44</v>
      </c>
      <c r="S507" s="217"/>
      <c r="T507" s="217"/>
      <c r="U507" s="217">
        <v>0</v>
      </c>
      <c r="V507" s="217"/>
      <c r="W507" s="183">
        <v>44978.44</v>
      </c>
      <c r="X507" s="320">
        <f>44978.44-W507</f>
        <v>0</v>
      </c>
      <c r="Y507" s="320"/>
      <c r="Z507" s="353"/>
      <c r="AA507" s="37">
        <f>77970+11837.33+19200+10000</f>
        <v>119007.33</v>
      </c>
      <c r="AB507" s="37">
        <v>44978.44</v>
      </c>
    </row>
    <row r="508" spans="1:28" ht="25.5" hidden="1" x14ac:dyDescent="0.2">
      <c r="A508" s="46" t="s">
        <v>328</v>
      </c>
      <c r="B508" s="154"/>
      <c r="C508" s="14"/>
      <c r="D508" s="14"/>
      <c r="E508" s="15" t="s">
        <v>46</v>
      </c>
      <c r="F508" s="14"/>
      <c r="G508" s="14" t="s">
        <v>263</v>
      </c>
      <c r="H508" s="37"/>
      <c r="I508" s="37"/>
      <c r="J508" s="37"/>
      <c r="K508" s="38"/>
      <c r="L508" s="38"/>
      <c r="M508" s="38"/>
      <c r="N508" s="39"/>
      <c r="O508" s="37"/>
      <c r="P508" s="60">
        <v>0</v>
      </c>
      <c r="Q508" s="217">
        <f t="shared" si="312"/>
        <v>0</v>
      </c>
      <c r="R508" s="37">
        <v>0</v>
      </c>
      <c r="S508" s="217"/>
      <c r="T508" s="217"/>
      <c r="U508" s="217"/>
      <c r="V508" s="217"/>
      <c r="W508" s="183">
        <f t="shared" si="313"/>
        <v>0</v>
      </c>
      <c r="X508" s="320"/>
      <c r="Y508" s="320"/>
      <c r="Z508" s="353"/>
      <c r="AA508" s="37">
        <v>0</v>
      </c>
      <c r="AB508" s="37">
        <f t="shared" si="314"/>
        <v>0</v>
      </c>
    </row>
    <row r="509" spans="1:28" ht="25.5" hidden="1" x14ac:dyDescent="0.2">
      <c r="A509" s="46" t="s">
        <v>328</v>
      </c>
      <c r="B509" s="154"/>
      <c r="C509" s="14"/>
      <c r="D509" s="14"/>
      <c r="E509" s="15" t="s">
        <v>46</v>
      </c>
      <c r="F509" s="14"/>
      <c r="G509" s="14" t="s">
        <v>79</v>
      </c>
      <c r="H509" s="37"/>
      <c r="I509" s="37"/>
      <c r="J509" s="37"/>
      <c r="K509" s="38"/>
      <c r="L509" s="38"/>
      <c r="M509" s="38"/>
      <c r="N509" s="39"/>
      <c r="O509" s="37"/>
      <c r="P509" s="60">
        <v>0</v>
      </c>
      <c r="Q509" s="217">
        <f t="shared" si="312"/>
        <v>0</v>
      </c>
      <c r="R509" s="37">
        <v>0</v>
      </c>
      <c r="S509" s="217"/>
      <c r="T509" s="217"/>
      <c r="U509" s="217"/>
      <c r="V509" s="217"/>
      <c r="W509" s="183">
        <f t="shared" si="313"/>
        <v>0</v>
      </c>
      <c r="X509" s="320"/>
      <c r="Y509" s="320"/>
      <c r="Z509" s="353"/>
      <c r="AA509" s="37">
        <v>0</v>
      </c>
      <c r="AB509" s="37">
        <f t="shared" si="314"/>
        <v>0</v>
      </c>
    </row>
    <row r="510" spans="1:28" ht="25.5" x14ac:dyDescent="0.2">
      <c r="A510" s="46" t="s">
        <v>328</v>
      </c>
      <c r="B510" s="154"/>
      <c r="C510" s="14"/>
      <c r="D510" s="14"/>
      <c r="E510" s="15" t="s">
        <v>46</v>
      </c>
      <c r="F510" s="14"/>
      <c r="G510" s="14" t="s">
        <v>263</v>
      </c>
      <c r="H510" s="37"/>
      <c r="I510" s="37"/>
      <c r="J510" s="37"/>
      <c r="K510" s="38"/>
      <c r="L510" s="38"/>
      <c r="M510" s="38"/>
      <c r="N510" s="39"/>
      <c r="O510" s="37"/>
      <c r="P510" s="60">
        <v>4777</v>
      </c>
      <c r="Q510" s="217">
        <f t="shared" si="312"/>
        <v>0</v>
      </c>
      <c r="R510" s="37"/>
      <c r="S510" s="217"/>
      <c r="T510" s="217"/>
      <c r="U510" s="217"/>
      <c r="V510" s="217"/>
      <c r="W510" s="183">
        <v>4777</v>
      </c>
      <c r="X510" s="320"/>
      <c r="Y510" s="320"/>
      <c r="Z510" s="353"/>
      <c r="AA510" s="37">
        <v>4777</v>
      </c>
      <c r="AB510" s="37">
        <v>4777</v>
      </c>
    </row>
    <row r="511" spans="1:28" x14ac:dyDescent="0.2">
      <c r="A511" s="204" t="s">
        <v>329</v>
      </c>
      <c r="B511" s="205"/>
      <c r="C511" s="206" t="s">
        <v>330</v>
      </c>
      <c r="D511" s="19" t="s">
        <v>18</v>
      </c>
      <c r="E511" s="207" t="s">
        <v>19</v>
      </c>
      <c r="F511" s="206"/>
      <c r="G511" s="206"/>
      <c r="H511" s="132">
        <f>H512</f>
        <v>24961682.649999999</v>
      </c>
      <c r="I511" s="132">
        <f t="shared" ref="I511:N512" si="315">I512</f>
        <v>36400.000000000233</v>
      </c>
      <c r="J511" s="132">
        <f>J512</f>
        <v>0</v>
      </c>
      <c r="K511" s="209">
        <f t="shared" si="315"/>
        <v>36400</v>
      </c>
      <c r="L511" s="209">
        <f t="shared" si="315"/>
        <v>0</v>
      </c>
      <c r="M511" s="209">
        <f t="shared" si="315"/>
        <v>0</v>
      </c>
      <c r="N511" s="210">
        <f>N512</f>
        <v>24998082.649999999</v>
      </c>
      <c r="O511" s="132">
        <f>O512</f>
        <v>24411376.469999999</v>
      </c>
      <c r="P511" s="295">
        <f>P512</f>
        <v>23220518.600000001</v>
      </c>
      <c r="Q511" s="295">
        <f t="shared" ref="Q511:W512" si="316">Q512</f>
        <v>2345361</v>
      </c>
      <c r="R511" s="295">
        <f>R512</f>
        <v>182850</v>
      </c>
      <c r="S511" s="295">
        <f t="shared" si="316"/>
        <v>33150</v>
      </c>
      <c r="T511" s="295">
        <f t="shared" si="316"/>
        <v>0</v>
      </c>
      <c r="U511" s="295">
        <f t="shared" si="316"/>
        <v>0</v>
      </c>
      <c r="V511" s="295">
        <f t="shared" si="316"/>
        <v>2129361</v>
      </c>
      <c r="W511" s="295">
        <f t="shared" si="316"/>
        <v>27781243.739999998</v>
      </c>
      <c r="X511" s="320"/>
      <c r="Y511" s="320"/>
      <c r="Z511" s="353"/>
      <c r="AA511" s="295">
        <f>AA512</f>
        <v>1452648.9</v>
      </c>
      <c r="AB511" s="295">
        <f t="shared" ref="AB511" si="317">AB512</f>
        <v>27781243.739999998</v>
      </c>
    </row>
    <row r="512" spans="1:28" ht="25.5" x14ac:dyDescent="0.2">
      <c r="A512" s="22" t="s">
        <v>331</v>
      </c>
      <c r="B512" s="23"/>
      <c r="C512" s="24" t="s">
        <v>56</v>
      </c>
      <c r="D512" s="24" t="s">
        <v>18</v>
      </c>
      <c r="E512" s="25" t="s">
        <v>19</v>
      </c>
      <c r="F512" s="24"/>
      <c r="G512" s="24"/>
      <c r="H512" s="26">
        <f>H513</f>
        <v>24961682.649999999</v>
      </c>
      <c r="I512" s="26">
        <f t="shared" si="315"/>
        <v>36400.000000000233</v>
      </c>
      <c r="J512" s="26">
        <f t="shared" si="315"/>
        <v>0</v>
      </c>
      <c r="K512" s="27">
        <f t="shared" si="315"/>
        <v>36400</v>
      </c>
      <c r="L512" s="27">
        <f t="shared" si="315"/>
        <v>0</v>
      </c>
      <c r="M512" s="27">
        <f t="shared" si="315"/>
        <v>0</v>
      </c>
      <c r="N512" s="28">
        <f t="shared" si="315"/>
        <v>24998082.649999999</v>
      </c>
      <c r="O512" s="26">
        <f>O513</f>
        <v>24411376.469999999</v>
      </c>
      <c r="P512" s="280">
        <f>P513</f>
        <v>23220518.600000001</v>
      </c>
      <c r="Q512" s="280">
        <f t="shared" si="316"/>
        <v>2345361</v>
      </c>
      <c r="R512" s="280">
        <f t="shared" si="316"/>
        <v>182850</v>
      </c>
      <c r="S512" s="280">
        <f t="shared" si="316"/>
        <v>33150</v>
      </c>
      <c r="T512" s="280">
        <f t="shared" si="316"/>
        <v>0</v>
      </c>
      <c r="U512" s="280">
        <f t="shared" si="316"/>
        <v>0</v>
      </c>
      <c r="V512" s="280">
        <f t="shared" si="316"/>
        <v>2129361</v>
      </c>
      <c r="W512" s="280">
        <f>W513</f>
        <v>27781243.739999998</v>
      </c>
      <c r="X512" s="320"/>
      <c r="Y512" s="320"/>
      <c r="Z512" s="353"/>
      <c r="AA512" s="280">
        <f>AA513</f>
        <v>1452648.9</v>
      </c>
      <c r="AB512" s="280">
        <f>AB513</f>
        <v>27781243.739999998</v>
      </c>
    </row>
    <row r="513" spans="1:28" ht="63.75" x14ac:dyDescent="0.2">
      <c r="A513" s="124" t="s">
        <v>519</v>
      </c>
      <c r="B513" s="94">
        <v>804</v>
      </c>
      <c r="C513" s="31" t="s">
        <v>330</v>
      </c>
      <c r="D513" s="150" t="s">
        <v>18</v>
      </c>
      <c r="E513" s="32" t="s">
        <v>19</v>
      </c>
      <c r="F513" s="31"/>
      <c r="G513" s="31"/>
      <c r="H513" s="33">
        <f t="shared" ref="H513:P513" si="318">H516</f>
        <v>24961682.649999999</v>
      </c>
      <c r="I513" s="33">
        <f t="shared" si="318"/>
        <v>36400.000000000233</v>
      </c>
      <c r="J513" s="33">
        <f t="shared" si="318"/>
        <v>0</v>
      </c>
      <c r="K513" s="34">
        <f t="shared" si="318"/>
        <v>36400</v>
      </c>
      <c r="L513" s="34">
        <f t="shared" si="318"/>
        <v>0</v>
      </c>
      <c r="M513" s="34">
        <f t="shared" si="318"/>
        <v>0</v>
      </c>
      <c r="N513" s="35">
        <f t="shared" si="318"/>
        <v>24998082.649999999</v>
      </c>
      <c r="O513" s="33">
        <f t="shared" si="318"/>
        <v>24411376.469999999</v>
      </c>
      <c r="P513" s="281">
        <f t="shared" si="318"/>
        <v>23220518.600000001</v>
      </c>
      <c r="Q513" s="281">
        <f t="shared" ref="Q513:W513" si="319">Q516+Q514+Q515</f>
        <v>2345361</v>
      </c>
      <c r="R513" s="281">
        <f t="shared" si="319"/>
        <v>182850</v>
      </c>
      <c r="S513" s="281">
        <f t="shared" si="319"/>
        <v>33150</v>
      </c>
      <c r="T513" s="281">
        <f t="shared" si="319"/>
        <v>0</v>
      </c>
      <c r="U513" s="281">
        <f t="shared" si="319"/>
        <v>0</v>
      </c>
      <c r="V513" s="281">
        <f t="shared" si="319"/>
        <v>2129361</v>
      </c>
      <c r="W513" s="281">
        <f t="shared" si="319"/>
        <v>27781243.739999998</v>
      </c>
      <c r="X513" s="320"/>
      <c r="Y513" s="320"/>
      <c r="Z513" s="353"/>
      <c r="AA513" s="281">
        <f>AA516+AA514+AA515</f>
        <v>1452648.9</v>
      </c>
      <c r="AB513" s="281">
        <f t="shared" ref="AB513" si="320">AB516+AB514+AB515</f>
        <v>27781243.739999998</v>
      </c>
    </row>
    <row r="514" spans="1:28" hidden="1" x14ac:dyDescent="0.2">
      <c r="A514" s="345" t="s">
        <v>440</v>
      </c>
      <c r="B514" s="94"/>
      <c r="C514" s="187" t="s">
        <v>40</v>
      </c>
      <c r="D514" s="346" t="s">
        <v>441</v>
      </c>
      <c r="E514" s="203" t="s">
        <v>334</v>
      </c>
      <c r="F514" s="187" t="s">
        <v>335</v>
      </c>
      <c r="G514" s="187"/>
      <c r="H514" s="181"/>
      <c r="I514" s="181"/>
      <c r="J514" s="181"/>
      <c r="K514" s="324"/>
      <c r="L514" s="324"/>
      <c r="M514" s="324"/>
      <c r="N514" s="347"/>
      <c r="O514" s="181"/>
      <c r="P514" s="294">
        <v>0</v>
      </c>
      <c r="Q514" s="294">
        <f>R514+S514+T514+U514</f>
        <v>0</v>
      </c>
      <c r="R514" s="294"/>
      <c r="S514" s="294">
        <v>0</v>
      </c>
      <c r="T514" s="294"/>
      <c r="U514" s="294"/>
      <c r="V514" s="294"/>
      <c r="W514" s="294">
        <f>P514+Q514</f>
        <v>0</v>
      </c>
      <c r="X514" s="320"/>
      <c r="Y514" s="320"/>
      <c r="Z514" s="353"/>
      <c r="AA514" s="294"/>
      <c r="AB514" s="294">
        <f>U514+V514</f>
        <v>0</v>
      </c>
    </row>
    <row r="515" spans="1:28" hidden="1" x14ac:dyDescent="0.2">
      <c r="A515" s="54" t="s">
        <v>442</v>
      </c>
      <c r="B515" s="94"/>
      <c r="C515" s="338" t="s">
        <v>40</v>
      </c>
      <c r="D515" s="339" t="s">
        <v>441</v>
      </c>
      <c r="E515" s="340" t="s">
        <v>285</v>
      </c>
      <c r="F515" s="338" t="s">
        <v>30</v>
      </c>
      <c r="G515" s="338"/>
      <c r="H515" s="341"/>
      <c r="I515" s="341"/>
      <c r="J515" s="341"/>
      <c r="K515" s="342"/>
      <c r="L515" s="342"/>
      <c r="M515" s="342"/>
      <c r="N515" s="343"/>
      <c r="O515" s="341"/>
      <c r="P515" s="344">
        <v>0</v>
      </c>
      <c r="Q515" s="344">
        <f>R515+S515+T515+U515</f>
        <v>0</v>
      </c>
      <c r="R515" s="344"/>
      <c r="S515" s="344">
        <v>0</v>
      </c>
      <c r="T515" s="344"/>
      <c r="U515" s="344"/>
      <c r="V515" s="344"/>
      <c r="W515" s="344">
        <f>P515+Q515</f>
        <v>0</v>
      </c>
      <c r="X515" s="320"/>
      <c r="Y515" s="320"/>
      <c r="Z515" s="353"/>
      <c r="AA515" s="344"/>
      <c r="AB515" s="344">
        <f>U515+V515</f>
        <v>0</v>
      </c>
    </row>
    <row r="516" spans="1:28" ht="25.5" x14ac:dyDescent="0.2">
      <c r="A516" s="29" t="s">
        <v>332</v>
      </c>
      <c r="B516" s="94">
        <v>804</v>
      </c>
      <c r="C516" s="31" t="s">
        <v>56</v>
      </c>
      <c r="D516" s="150" t="s">
        <v>18</v>
      </c>
      <c r="E516" s="32" t="s">
        <v>19</v>
      </c>
      <c r="F516" s="31" t="s">
        <v>19</v>
      </c>
      <c r="G516" s="31"/>
      <c r="H516" s="33">
        <f t="shared" ref="H516:O516" si="321">SUM(H517:H526)</f>
        <v>24961682.649999999</v>
      </c>
      <c r="I516" s="33">
        <f t="shared" si="321"/>
        <v>36400.000000000233</v>
      </c>
      <c r="J516" s="33">
        <f t="shared" si="321"/>
        <v>0</v>
      </c>
      <c r="K516" s="33">
        <f t="shared" si="321"/>
        <v>36400</v>
      </c>
      <c r="L516" s="33">
        <f t="shared" si="321"/>
        <v>0</v>
      </c>
      <c r="M516" s="33">
        <f t="shared" si="321"/>
        <v>0</v>
      </c>
      <c r="N516" s="33">
        <f t="shared" si="321"/>
        <v>24998082.649999999</v>
      </c>
      <c r="O516" s="33">
        <f t="shared" si="321"/>
        <v>24411376.469999999</v>
      </c>
      <c r="P516" s="281">
        <f>SUM(P517:P530)</f>
        <v>23220518.600000001</v>
      </c>
      <c r="Q516" s="281">
        <f t="shared" ref="Q516:W516" si="322">SUM(Q517:Q530)</f>
        <v>2345361</v>
      </c>
      <c r="R516" s="281">
        <f t="shared" si="322"/>
        <v>182850</v>
      </c>
      <c r="S516" s="281">
        <f t="shared" si="322"/>
        <v>33150</v>
      </c>
      <c r="T516" s="281">
        <f t="shared" si="322"/>
        <v>0</v>
      </c>
      <c r="U516" s="281">
        <f t="shared" si="322"/>
        <v>0</v>
      </c>
      <c r="V516" s="281">
        <f t="shared" si="322"/>
        <v>2129361</v>
      </c>
      <c r="W516" s="281">
        <f t="shared" si="322"/>
        <v>27781243.739999998</v>
      </c>
      <c r="X516" s="320"/>
      <c r="Y516" s="320"/>
      <c r="Z516" s="353"/>
      <c r="AA516" s="281">
        <f>SUM(AA517:AA526)</f>
        <v>1452648.9</v>
      </c>
      <c r="AB516" s="281">
        <f t="shared" ref="AB516" si="323">SUM(AB517:AB530)</f>
        <v>27781243.739999998</v>
      </c>
    </row>
    <row r="517" spans="1:28" ht="89.25" x14ac:dyDescent="0.2">
      <c r="A517" s="12" t="s">
        <v>333</v>
      </c>
      <c r="B517" s="154" t="s">
        <v>131</v>
      </c>
      <c r="C517" s="14" t="s">
        <v>56</v>
      </c>
      <c r="D517" s="14" t="s">
        <v>462</v>
      </c>
      <c r="E517" s="15" t="s">
        <v>334</v>
      </c>
      <c r="F517" s="14" t="s">
        <v>335</v>
      </c>
      <c r="G517" s="14" t="s">
        <v>336</v>
      </c>
      <c r="H517" s="37">
        <v>24002882.649999999</v>
      </c>
      <c r="I517" s="37">
        <f t="shared" ref="I517:I526" si="324">SUM(J517:M517)</f>
        <v>0</v>
      </c>
      <c r="J517" s="37"/>
      <c r="K517" s="38"/>
      <c r="L517" s="38"/>
      <c r="M517" s="38"/>
      <c r="N517" s="39">
        <f t="shared" ref="N517:N526" si="325">H517+I517</f>
        <v>24002882.649999999</v>
      </c>
      <c r="O517" s="37">
        <f>24002882.65-482306.18</f>
        <v>23520576.469999999</v>
      </c>
      <c r="P517" s="291">
        <v>21536514.600000001</v>
      </c>
      <c r="Q517" s="37">
        <f>R517+S517+T517+U517+V517</f>
        <v>0</v>
      </c>
      <c r="R517" s="37"/>
      <c r="S517" s="217"/>
      <c r="T517" s="217"/>
      <c r="U517" s="217">
        <v>0</v>
      </c>
      <c r="V517" s="217"/>
      <c r="W517" s="183">
        <v>26116711.739999998</v>
      </c>
      <c r="X517" s="320"/>
      <c r="Y517" s="320"/>
      <c r="Z517" s="353"/>
      <c r="AA517" s="37">
        <v>1295648.8999999999</v>
      </c>
      <c r="AB517" s="183">
        <v>26116711.739999998</v>
      </c>
    </row>
    <row r="518" spans="1:28" ht="63.75" hidden="1" x14ac:dyDescent="0.2">
      <c r="A518" s="12" t="s">
        <v>337</v>
      </c>
      <c r="B518" s="113">
        <v>804</v>
      </c>
      <c r="C518" s="14" t="s">
        <v>56</v>
      </c>
      <c r="D518" s="14" t="s">
        <v>338</v>
      </c>
      <c r="E518" s="15" t="s">
        <v>334</v>
      </c>
      <c r="F518" s="14" t="s">
        <v>335</v>
      </c>
      <c r="G518" s="14" t="s">
        <v>336</v>
      </c>
      <c r="H518" s="37">
        <v>340000</v>
      </c>
      <c r="I518" s="37">
        <f t="shared" si="324"/>
        <v>0</v>
      </c>
      <c r="J518" s="37"/>
      <c r="K518" s="38"/>
      <c r="L518" s="38"/>
      <c r="M518" s="38"/>
      <c r="N518" s="39">
        <f t="shared" si="325"/>
        <v>340000</v>
      </c>
      <c r="O518" s="37">
        <f>340000*80%</f>
        <v>272000</v>
      </c>
      <c r="P518" s="291">
        <v>0</v>
      </c>
      <c r="Q518" s="37">
        <f t="shared" ref="Q518:Q530" si="326">R518+S518+T518+U518+V518</f>
        <v>0</v>
      </c>
      <c r="R518" s="37"/>
      <c r="S518" s="217"/>
      <c r="T518" s="217"/>
      <c r="U518" s="217"/>
      <c r="V518" s="217"/>
      <c r="W518" s="183">
        <f t="shared" ref="W518:W526" si="327">P518+Q518</f>
        <v>0</v>
      </c>
      <c r="X518" s="320"/>
      <c r="Y518" s="320"/>
      <c r="Z518" s="353"/>
      <c r="AA518" s="37"/>
      <c r="AB518" s="37">
        <f t="shared" ref="AB518:AB526" si="328">U518+V518</f>
        <v>0</v>
      </c>
    </row>
    <row r="519" spans="1:28" ht="38.25" x14ac:dyDescent="0.2">
      <c r="A519" s="12" t="s">
        <v>339</v>
      </c>
      <c r="B519" s="113"/>
      <c r="C519" s="14"/>
      <c r="D519" s="14" t="s">
        <v>463</v>
      </c>
      <c r="E519" s="15" t="s">
        <v>334</v>
      </c>
      <c r="F519" s="14" t="s">
        <v>335</v>
      </c>
      <c r="G519" s="14" t="s">
        <v>336</v>
      </c>
      <c r="H519" s="37"/>
      <c r="I519" s="37"/>
      <c r="J519" s="37"/>
      <c r="K519" s="38"/>
      <c r="L519" s="38"/>
      <c r="M519" s="38"/>
      <c r="N519" s="39"/>
      <c r="O519" s="37"/>
      <c r="P519" s="291">
        <v>300000</v>
      </c>
      <c r="Q519" s="37">
        <f t="shared" si="326"/>
        <v>0</v>
      </c>
      <c r="R519" s="37"/>
      <c r="S519" s="217"/>
      <c r="T519" s="217"/>
      <c r="U519" s="217"/>
      <c r="V519" s="217"/>
      <c r="W519" s="183">
        <v>80000</v>
      </c>
      <c r="X519" s="320"/>
      <c r="Y519" s="320"/>
      <c r="Z519" s="353"/>
      <c r="AA519" s="37">
        <v>157000</v>
      </c>
      <c r="AB519" s="183">
        <v>80000</v>
      </c>
    </row>
    <row r="520" spans="1:28" ht="38.25" x14ac:dyDescent="0.2">
      <c r="A520" s="12" t="s">
        <v>340</v>
      </c>
      <c r="B520" s="113"/>
      <c r="C520" s="14"/>
      <c r="D520" s="14" t="s">
        <v>464</v>
      </c>
      <c r="E520" s="15" t="s">
        <v>334</v>
      </c>
      <c r="F520" s="14" t="s">
        <v>335</v>
      </c>
      <c r="G520" s="14" t="s">
        <v>336</v>
      </c>
      <c r="H520" s="37"/>
      <c r="I520" s="37"/>
      <c r="J520" s="37"/>
      <c r="K520" s="38"/>
      <c r="L520" s="38"/>
      <c r="M520" s="38"/>
      <c r="N520" s="39"/>
      <c r="O520" s="37"/>
      <c r="P520" s="291">
        <v>341884</v>
      </c>
      <c r="Q520" s="37">
        <f t="shared" si="326"/>
        <v>0</v>
      </c>
      <c r="R520" s="37"/>
      <c r="S520" s="217"/>
      <c r="T520" s="217"/>
      <c r="U520" s="217"/>
      <c r="V520" s="217"/>
      <c r="W520" s="183">
        <v>341884</v>
      </c>
      <c r="X520" s="320"/>
      <c r="Y520" s="320"/>
      <c r="Z520" s="353"/>
      <c r="AA520" s="37"/>
      <c r="AB520" s="183">
        <v>341884</v>
      </c>
    </row>
    <row r="521" spans="1:28" ht="51" x14ac:dyDescent="0.2">
      <c r="A521" s="12" t="s">
        <v>341</v>
      </c>
      <c r="B521" s="113">
        <v>804</v>
      </c>
      <c r="C521" s="14" t="s">
        <v>56</v>
      </c>
      <c r="D521" s="14" t="s">
        <v>462</v>
      </c>
      <c r="E521" s="15" t="s">
        <v>342</v>
      </c>
      <c r="F521" s="14" t="s">
        <v>335</v>
      </c>
      <c r="G521" s="14" t="s">
        <v>343</v>
      </c>
      <c r="H521" s="37">
        <v>618800</v>
      </c>
      <c r="I521" s="37">
        <f t="shared" si="324"/>
        <v>36400</v>
      </c>
      <c r="J521" s="37"/>
      <c r="K521" s="38">
        <v>36400</v>
      </c>
      <c r="L521" s="38"/>
      <c r="M521" s="38"/>
      <c r="N521" s="39">
        <f t="shared" si="325"/>
        <v>655200</v>
      </c>
      <c r="O521" s="37">
        <v>618800</v>
      </c>
      <c r="P521" s="291">
        <v>797120</v>
      </c>
      <c r="Q521" s="37">
        <f t="shared" si="326"/>
        <v>0</v>
      </c>
      <c r="R521" s="37"/>
      <c r="S521" s="217"/>
      <c r="T521" s="217"/>
      <c r="U521" s="217">
        <v>0</v>
      </c>
      <c r="V521" s="217"/>
      <c r="W521" s="183">
        <v>1242648</v>
      </c>
      <c r="X521" s="320"/>
      <c r="Y521" s="320"/>
      <c r="Z521" s="353"/>
      <c r="AA521" s="37"/>
      <c r="AB521" s="183">
        <v>1242648</v>
      </c>
    </row>
    <row r="522" spans="1:28" ht="25.5" hidden="1" x14ac:dyDescent="0.2">
      <c r="A522" s="12" t="s">
        <v>513</v>
      </c>
      <c r="B522" s="113">
        <v>804</v>
      </c>
      <c r="C522" s="14" t="s">
        <v>56</v>
      </c>
      <c r="D522" s="14" t="s">
        <v>344</v>
      </c>
      <c r="E522" s="15" t="s">
        <v>342</v>
      </c>
      <c r="F522" s="14" t="s">
        <v>335</v>
      </c>
      <c r="G522" s="14" t="s">
        <v>345</v>
      </c>
      <c r="H522" s="37">
        <v>0</v>
      </c>
      <c r="I522" s="37">
        <f t="shared" si="324"/>
        <v>-1003610.22</v>
      </c>
      <c r="J522" s="37">
        <v>-1003610.22</v>
      </c>
      <c r="K522" s="38">
        <v>0</v>
      </c>
      <c r="L522" s="38">
        <v>0</v>
      </c>
      <c r="M522" s="38">
        <v>0</v>
      </c>
      <c r="N522" s="39">
        <f t="shared" si="325"/>
        <v>-1003610.22</v>
      </c>
      <c r="O522" s="37">
        <v>0</v>
      </c>
      <c r="P522" s="291">
        <v>245000</v>
      </c>
      <c r="Q522" s="37">
        <f t="shared" si="326"/>
        <v>0</v>
      </c>
      <c r="R522" s="37"/>
      <c r="S522" s="217"/>
      <c r="T522" s="217"/>
      <c r="U522" s="217"/>
      <c r="V522" s="217"/>
      <c r="W522" s="37">
        <v>0</v>
      </c>
      <c r="X522" s="320"/>
      <c r="Y522" s="320"/>
      <c r="Z522" s="353"/>
      <c r="AA522" s="37"/>
      <c r="AB522" s="37">
        <v>0</v>
      </c>
    </row>
    <row r="523" spans="1:28" hidden="1" x14ac:dyDescent="0.2">
      <c r="A523" s="12" t="s">
        <v>346</v>
      </c>
      <c r="B523" s="113">
        <v>804</v>
      </c>
      <c r="C523" s="14" t="s">
        <v>56</v>
      </c>
      <c r="D523" s="14" t="s">
        <v>347</v>
      </c>
      <c r="E523" s="15" t="s">
        <v>46</v>
      </c>
      <c r="F523" s="14" t="s">
        <v>51</v>
      </c>
      <c r="G523" s="14" t="s">
        <v>56</v>
      </c>
      <c r="H523" s="37">
        <v>0</v>
      </c>
      <c r="I523" s="37">
        <f t="shared" si="324"/>
        <v>-6669520</v>
      </c>
      <c r="J523" s="37">
        <v>-6669520</v>
      </c>
      <c r="K523" s="38">
        <v>0</v>
      </c>
      <c r="L523" s="38">
        <v>0</v>
      </c>
      <c r="M523" s="38">
        <v>0</v>
      </c>
      <c r="N523" s="39">
        <f t="shared" si="325"/>
        <v>-6669520</v>
      </c>
      <c r="O523" s="37">
        <v>0</v>
      </c>
      <c r="P523" s="60">
        <v>0</v>
      </c>
      <c r="Q523" s="37">
        <f t="shared" si="326"/>
        <v>0</v>
      </c>
      <c r="R523" s="37"/>
      <c r="S523" s="37"/>
      <c r="T523" s="37"/>
      <c r="U523" s="37"/>
      <c r="V523" s="37"/>
      <c r="W523" s="37">
        <f t="shared" si="327"/>
        <v>0</v>
      </c>
      <c r="X523" s="320"/>
      <c r="Y523" s="320"/>
      <c r="Z523" s="353"/>
      <c r="AA523" s="37"/>
      <c r="AB523" s="37">
        <f t="shared" si="328"/>
        <v>0</v>
      </c>
    </row>
    <row r="524" spans="1:28" hidden="1" x14ac:dyDescent="0.2">
      <c r="A524" s="12" t="s">
        <v>346</v>
      </c>
      <c r="B524" s="113">
        <v>804</v>
      </c>
      <c r="C524" s="14" t="s">
        <v>56</v>
      </c>
      <c r="D524" s="14" t="s">
        <v>347</v>
      </c>
      <c r="E524" s="15" t="s">
        <v>247</v>
      </c>
      <c r="F524" s="14" t="s">
        <v>73</v>
      </c>
      <c r="G524" s="14" t="s">
        <v>258</v>
      </c>
      <c r="H524" s="37">
        <v>0</v>
      </c>
      <c r="I524" s="37">
        <f t="shared" si="324"/>
        <v>6669520</v>
      </c>
      <c r="J524" s="37">
        <v>6669520</v>
      </c>
      <c r="K524" s="38"/>
      <c r="L524" s="38"/>
      <c r="M524" s="38"/>
      <c r="N524" s="39">
        <f t="shared" si="325"/>
        <v>6669520</v>
      </c>
      <c r="O524" s="37">
        <v>0</v>
      </c>
      <c r="P524" s="60">
        <v>0</v>
      </c>
      <c r="Q524" s="37">
        <f t="shared" si="326"/>
        <v>0</v>
      </c>
      <c r="R524" s="37"/>
      <c r="S524" s="37"/>
      <c r="T524" s="37"/>
      <c r="U524" s="37"/>
      <c r="V524" s="37"/>
      <c r="W524" s="37">
        <f t="shared" si="327"/>
        <v>0</v>
      </c>
      <c r="X524" s="320"/>
      <c r="Y524" s="320"/>
      <c r="Z524" s="353"/>
      <c r="AA524" s="37"/>
      <c r="AB524" s="37">
        <f t="shared" si="328"/>
        <v>0</v>
      </c>
    </row>
    <row r="525" spans="1:28" hidden="1" x14ac:dyDescent="0.2">
      <c r="A525" s="12" t="s">
        <v>346</v>
      </c>
      <c r="B525" s="113">
        <v>804</v>
      </c>
      <c r="C525" s="14" t="s">
        <v>56</v>
      </c>
      <c r="D525" s="14" t="s">
        <v>347</v>
      </c>
      <c r="E525" s="15" t="s">
        <v>342</v>
      </c>
      <c r="F525" s="14" t="s">
        <v>335</v>
      </c>
      <c r="G525" s="14" t="s">
        <v>345</v>
      </c>
      <c r="H525" s="37">
        <v>0</v>
      </c>
      <c r="I525" s="37">
        <f t="shared" si="324"/>
        <v>1003610.22</v>
      </c>
      <c r="J525" s="37">
        <v>1003610.22</v>
      </c>
      <c r="K525" s="38"/>
      <c r="L525" s="38"/>
      <c r="M525" s="38"/>
      <c r="N525" s="39">
        <f t="shared" si="325"/>
        <v>1003610.22</v>
      </c>
      <c r="O525" s="37">
        <v>0</v>
      </c>
      <c r="P525" s="60">
        <v>0</v>
      </c>
      <c r="Q525" s="37">
        <f t="shared" si="326"/>
        <v>0</v>
      </c>
      <c r="R525" s="37"/>
      <c r="S525" s="37"/>
      <c r="T525" s="37"/>
      <c r="U525" s="37"/>
      <c r="V525" s="37"/>
      <c r="W525" s="37">
        <f t="shared" si="327"/>
        <v>0</v>
      </c>
      <c r="X525" s="320"/>
      <c r="Y525" s="320"/>
      <c r="Z525" s="353"/>
      <c r="AA525" s="37"/>
      <c r="AB525" s="37">
        <f t="shared" si="328"/>
        <v>0</v>
      </c>
    </row>
    <row r="526" spans="1:28" hidden="1" x14ac:dyDescent="0.2">
      <c r="A526" s="12" t="s">
        <v>348</v>
      </c>
      <c r="B526" s="113">
        <v>804</v>
      </c>
      <c r="C526" s="14" t="s">
        <v>56</v>
      </c>
      <c r="D526" s="14" t="s">
        <v>349</v>
      </c>
      <c r="E526" s="15" t="s">
        <v>342</v>
      </c>
      <c r="F526" s="14" t="s">
        <v>335</v>
      </c>
      <c r="G526" s="14" t="s">
        <v>350</v>
      </c>
      <c r="H526" s="37">
        <v>0</v>
      </c>
      <c r="I526" s="37">
        <f t="shared" si="324"/>
        <v>0</v>
      </c>
      <c r="J526" s="37"/>
      <c r="K526" s="38"/>
      <c r="L526" s="38">
        <v>0</v>
      </c>
      <c r="M526" s="38"/>
      <c r="N526" s="39">
        <f t="shared" si="325"/>
        <v>0</v>
      </c>
      <c r="O526" s="37">
        <v>0</v>
      </c>
      <c r="P526" s="60">
        <v>0</v>
      </c>
      <c r="Q526" s="37">
        <f t="shared" si="326"/>
        <v>0</v>
      </c>
      <c r="R526" s="37"/>
      <c r="S526" s="37"/>
      <c r="T526" s="37"/>
      <c r="U526" s="37"/>
      <c r="V526" s="37"/>
      <c r="W526" s="37">
        <f t="shared" si="327"/>
        <v>0</v>
      </c>
      <c r="X526" s="320"/>
      <c r="Y526" s="320"/>
      <c r="Z526" s="353"/>
      <c r="AA526" s="37"/>
      <c r="AB526" s="37">
        <f t="shared" si="328"/>
        <v>0</v>
      </c>
    </row>
    <row r="527" spans="1:28" ht="63.75" hidden="1" x14ac:dyDescent="0.2">
      <c r="A527" s="380" t="s">
        <v>539</v>
      </c>
      <c r="B527" s="113"/>
      <c r="C527" s="14"/>
      <c r="D527" s="14" t="s">
        <v>525</v>
      </c>
      <c r="E527" s="15" t="s">
        <v>334</v>
      </c>
      <c r="F527" s="14" t="s">
        <v>335</v>
      </c>
      <c r="G527" s="14" t="s">
        <v>336</v>
      </c>
      <c r="H527" s="37"/>
      <c r="I527" s="37"/>
      <c r="J527" s="37"/>
      <c r="K527" s="38"/>
      <c r="L527" s="38"/>
      <c r="M527" s="38"/>
      <c r="N527" s="39"/>
      <c r="O527" s="37"/>
      <c r="P527" s="60">
        <v>0</v>
      </c>
      <c r="Q527" s="37">
        <f t="shared" si="326"/>
        <v>333244</v>
      </c>
      <c r="R527" s="37"/>
      <c r="S527" s="37"/>
      <c r="T527" s="37"/>
      <c r="U527" s="37"/>
      <c r="V527" s="381">
        <v>333244</v>
      </c>
      <c r="W527" s="37">
        <v>0</v>
      </c>
      <c r="X527" s="320">
        <v>7</v>
      </c>
      <c r="Y527" s="320"/>
      <c r="Z527" s="353"/>
      <c r="AA527" s="37"/>
      <c r="AB527" s="37">
        <v>0</v>
      </c>
    </row>
    <row r="528" spans="1:28" ht="76.5" hidden="1" x14ac:dyDescent="0.2">
      <c r="A528" s="380" t="s">
        <v>540</v>
      </c>
      <c r="B528" s="113"/>
      <c r="C528" s="14"/>
      <c r="D528" s="14" t="s">
        <v>526</v>
      </c>
      <c r="E528" s="15" t="s">
        <v>334</v>
      </c>
      <c r="F528" s="14" t="s">
        <v>335</v>
      </c>
      <c r="G528" s="14" t="s">
        <v>336</v>
      </c>
      <c r="H528" s="37"/>
      <c r="I528" s="37"/>
      <c r="J528" s="37"/>
      <c r="K528" s="38"/>
      <c r="L528" s="38"/>
      <c r="M528" s="38"/>
      <c r="N528" s="39"/>
      <c r="O528" s="37"/>
      <c r="P528" s="60">
        <v>0</v>
      </c>
      <c r="Q528" s="37">
        <f t="shared" si="326"/>
        <v>1796117</v>
      </c>
      <c r="R528" s="37"/>
      <c r="S528" s="37"/>
      <c r="T528" s="37"/>
      <c r="U528" s="37"/>
      <c r="V528" s="381">
        <v>1796117</v>
      </c>
      <c r="W528" s="37">
        <v>0</v>
      </c>
      <c r="X528" s="320">
        <v>6</v>
      </c>
      <c r="Y528" s="320"/>
      <c r="Z528" s="353"/>
      <c r="AA528" s="37"/>
      <c r="AB528" s="37">
        <v>0</v>
      </c>
    </row>
    <row r="529" spans="1:28" ht="76.5" hidden="1" x14ac:dyDescent="0.2">
      <c r="A529" s="380" t="s">
        <v>541</v>
      </c>
      <c r="B529" s="113"/>
      <c r="C529" s="14"/>
      <c r="D529" s="14" t="s">
        <v>527</v>
      </c>
      <c r="E529" s="15" t="s">
        <v>334</v>
      </c>
      <c r="F529" s="14" t="s">
        <v>335</v>
      </c>
      <c r="G529" s="14" t="s">
        <v>336</v>
      </c>
      <c r="H529" s="37"/>
      <c r="I529" s="37"/>
      <c r="J529" s="37"/>
      <c r="K529" s="38"/>
      <c r="L529" s="38"/>
      <c r="M529" s="38"/>
      <c r="N529" s="39"/>
      <c r="O529" s="37"/>
      <c r="P529" s="60">
        <v>0</v>
      </c>
      <c r="Q529" s="37">
        <f t="shared" si="326"/>
        <v>63020</v>
      </c>
      <c r="R529" s="37">
        <v>29870</v>
      </c>
      <c r="S529" s="37">
        <v>33150</v>
      </c>
      <c r="T529" s="37"/>
      <c r="U529" s="37"/>
      <c r="V529" s="37"/>
      <c r="W529" s="381">
        <v>0</v>
      </c>
      <c r="X529" s="320">
        <v>7</v>
      </c>
      <c r="Y529" s="320"/>
      <c r="Z529" s="353"/>
      <c r="AA529" s="37"/>
      <c r="AB529" s="381">
        <v>0</v>
      </c>
    </row>
    <row r="530" spans="1:28" ht="76.5" hidden="1" x14ac:dyDescent="0.2">
      <c r="A530" s="380" t="s">
        <v>542</v>
      </c>
      <c r="B530" s="113"/>
      <c r="C530" s="14"/>
      <c r="D530" s="14" t="s">
        <v>528</v>
      </c>
      <c r="E530" s="15" t="s">
        <v>334</v>
      </c>
      <c r="F530" s="14" t="s">
        <v>335</v>
      </c>
      <c r="G530" s="14" t="s">
        <v>336</v>
      </c>
      <c r="H530" s="37"/>
      <c r="I530" s="37"/>
      <c r="J530" s="37"/>
      <c r="K530" s="38"/>
      <c r="L530" s="38"/>
      <c r="M530" s="38"/>
      <c r="N530" s="39"/>
      <c r="O530" s="37"/>
      <c r="P530" s="60">
        <v>0</v>
      </c>
      <c r="Q530" s="37">
        <f t="shared" si="326"/>
        <v>152980</v>
      </c>
      <c r="R530" s="37">
        <v>152980</v>
      </c>
      <c r="S530" s="37"/>
      <c r="T530" s="37"/>
      <c r="U530" s="37"/>
      <c r="V530" s="37"/>
      <c r="W530" s="381">
        <v>0</v>
      </c>
      <c r="X530" s="320">
        <v>6</v>
      </c>
      <c r="Y530" s="320"/>
      <c r="Z530" s="353"/>
      <c r="AA530" s="37"/>
      <c r="AB530" s="381">
        <v>0</v>
      </c>
    </row>
    <row r="531" spans="1:28" x14ac:dyDescent="0.2">
      <c r="A531" s="204" t="s">
        <v>351</v>
      </c>
      <c r="B531" s="205"/>
      <c r="C531" s="206" t="s">
        <v>352</v>
      </c>
      <c r="D531" s="19" t="s">
        <v>18</v>
      </c>
      <c r="E531" s="207" t="s">
        <v>19</v>
      </c>
      <c r="F531" s="206"/>
      <c r="G531" s="206"/>
      <c r="H531" s="132">
        <f t="shared" ref="H531:O531" si="329">H533</f>
        <v>627410</v>
      </c>
      <c r="I531" s="132">
        <f t="shared" si="329"/>
        <v>0</v>
      </c>
      <c r="J531" s="132">
        <f t="shared" si="329"/>
        <v>0</v>
      </c>
      <c r="K531" s="209">
        <f t="shared" si="329"/>
        <v>0</v>
      </c>
      <c r="L531" s="209">
        <f t="shared" si="329"/>
        <v>0</v>
      </c>
      <c r="M531" s="209">
        <f t="shared" si="329"/>
        <v>0</v>
      </c>
      <c r="N531" s="210">
        <f t="shared" si="329"/>
        <v>768247.5</v>
      </c>
      <c r="O531" s="132">
        <f t="shared" si="329"/>
        <v>501928</v>
      </c>
      <c r="P531" s="295">
        <f>P533+P532</f>
        <v>829964.64</v>
      </c>
      <c r="Q531" s="295">
        <f t="shared" ref="Q531:V531" si="330">Q533+Q532</f>
        <v>20000</v>
      </c>
      <c r="R531" s="295">
        <f>R533+R532</f>
        <v>20000</v>
      </c>
      <c r="S531" s="295">
        <f t="shared" si="330"/>
        <v>0</v>
      </c>
      <c r="T531" s="295">
        <f t="shared" si="330"/>
        <v>0</v>
      </c>
      <c r="U531" s="295">
        <f t="shared" si="330"/>
        <v>0</v>
      </c>
      <c r="V531" s="295">
        <f t="shared" si="330"/>
        <v>0</v>
      </c>
      <c r="W531" s="196">
        <f>W532+W533</f>
        <v>900157.67999999993</v>
      </c>
      <c r="X531" s="320"/>
      <c r="Y531" s="320"/>
      <c r="Z531" s="353"/>
      <c r="AA531" s="295">
        <f>AA533+AA532</f>
        <v>599664.64000000001</v>
      </c>
      <c r="AB531" s="196">
        <f>AB532+AB533</f>
        <v>900157.67999999993</v>
      </c>
    </row>
    <row r="532" spans="1:28" x14ac:dyDescent="0.2">
      <c r="A532" s="22" t="s">
        <v>353</v>
      </c>
      <c r="B532" s="23"/>
      <c r="C532" s="24" t="s">
        <v>354</v>
      </c>
      <c r="D532" s="24" t="s">
        <v>465</v>
      </c>
      <c r="E532" s="25" t="s">
        <v>355</v>
      </c>
      <c r="F532" s="24" t="s">
        <v>116</v>
      </c>
      <c r="G532" s="24"/>
      <c r="H532" s="26">
        <f>H533+H540+H549</f>
        <v>812410</v>
      </c>
      <c r="I532" s="26">
        <f t="shared" ref="I532:N533" si="331">SUM(I533:I539)</f>
        <v>0</v>
      </c>
      <c r="J532" s="26">
        <f t="shared" si="331"/>
        <v>0</v>
      </c>
      <c r="K532" s="27">
        <f t="shared" si="331"/>
        <v>0</v>
      </c>
      <c r="L532" s="27">
        <f t="shared" si="331"/>
        <v>0</v>
      </c>
      <c r="M532" s="27">
        <f t="shared" si="331"/>
        <v>0</v>
      </c>
      <c r="N532" s="27">
        <f t="shared" si="331"/>
        <v>1376495</v>
      </c>
      <c r="O532" s="26">
        <f>O533+O540+O549</f>
        <v>649928</v>
      </c>
      <c r="P532" s="280">
        <v>326194.64</v>
      </c>
      <c r="Q532" s="280">
        <f>R532+T532</f>
        <v>0</v>
      </c>
      <c r="R532" s="280"/>
      <c r="S532" s="280">
        <v>0</v>
      </c>
      <c r="T532" s="280">
        <v>0</v>
      </c>
      <c r="U532" s="280">
        <v>0</v>
      </c>
      <c r="V532" s="280">
        <v>0</v>
      </c>
      <c r="W532" s="280">
        <v>376387.68</v>
      </c>
      <c r="X532" s="320"/>
      <c r="Y532" s="320"/>
      <c r="Z532" s="353"/>
      <c r="AA532" s="280">
        <v>125894.64</v>
      </c>
      <c r="AB532" s="280">
        <v>376387.68</v>
      </c>
    </row>
    <row r="533" spans="1:28" x14ac:dyDescent="0.2">
      <c r="A533" s="22" t="s">
        <v>356</v>
      </c>
      <c r="B533" s="23"/>
      <c r="C533" s="24" t="s">
        <v>357</v>
      </c>
      <c r="D533" s="24" t="s">
        <v>18</v>
      </c>
      <c r="E533" s="25" t="s">
        <v>19</v>
      </c>
      <c r="F533" s="24"/>
      <c r="G533" s="24"/>
      <c r="H533" s="26">
        <f>H534+H543+H551</f>
        <v>627410</v>
      </c>
      <c r="I533" s="26">
        <f t="shared" si="331"/>
        <v>0</v>
      </c>
      <c r="J533" s="26">
        <f t="shared" si="331"/>
        <v>0</v>
      </c>
      <c r="K533" s="27">
        <f t="shared" si="331"/>
        <v>0</v>
      </c>
      <c r="L533" s="27">
        <f t="shared" si="331"/>
        <v>0</v>
      </c>
      <c r="M533" s="27">
        <f t="shared" si="331"/>
        <v>0</v>
      </c>
      <c r="N533" s="27">
        <f t="shared" si="331"/>
        <v>768247.5</v>
      </c>
      <c r="O533" s="26">
        <f>O534+O543+O551</f>
        <v>501928</v>
      </c>
      <c r="P533" s="280">
        <f>P534+P543+P551+P555</f>
        <v>503770</v>
      </c>
      <c r="Q533" s="280">
        <f t="shared" ref="Q533:V533" si="332">Q534+Q543+Q551+Q555</f>
        <v>20000</v>
      </c>
      <c r="R533" s="280">
        <f t="shared" si="332"/>
        <v>20000</v>
      </c>
      <c r="S533" s="280">
        <f t="shared" si="332"/>
        <v>0</v>
      </c>
      <c r="T533" s="280">
        <f t="shared" si="332"/>
        <v>0</v>
      </c>
      <c r="U533" s="280">
        <f t="shared" si="332"/>
        <v>0</v>
      </c>
      <c r="V533" s="280">
        <f t="shared" si="332"/>
        <v>0</v>
      </c>
      <c r="W533" s="280">
        <f>W534+W543+W555</f>
        <v>523770</v>
      </c>
      <c r="X533" s="320"/>
      <c r="Y533" s="320"/>
      <c r="Z533" s="353"/>
      <c r="AA533" s="280">
        <f>AA534+AA543+AA551</f>
        <v>473770</v>
      </c>
      <c r="AB533" s="280">
        <f>AB534+AB543+AB555</f>
        <v>523770</v>
      </c>
    </row>
    <row r="534" spans="1:28" s="231" customFormat="1" ht="38.25" x14ac:dyDescent="0.2">
      <c r="A534" s="225" t="s">
        <v>358</v>
      </c>
      <c r="B534" s="226">
        <v>804</v>
      </c>
      <c r="C534" s="150" t="s">
        <v>357</v>
      </c>
      <c r="D534" s="31" t="s">
        <v>466</v>
      </c>
      <c r="E534" s="150" t="s">
        <v>19</v>
      </c>
      <c r="F534" s="150" t="s">
        <v>19</v>
      </c>
      <c r="G534" s="150" t="s">
        <v>359</v>
      </c>
      <c r="H534" s="227">
        <f>SUM(H535:H540)</f>
        <v>384123.75</v>
      </c>
      <c r="I534" s="228">
        <f t="shared" ref="I534:I540" si="333">SUM(J534:M534)</f>
        <v>17300</v>
      </c>
      <c r="J534" s="229">
        <v>17300</v>
      </c>
      <c r="K534" s="229">
        <v>0</v>
      </c>
      <c r="L534" s="229">
        <v>0</v>
      </c>
      <c r="M534" s="229">
        <v>0</v>
      </c>
      <c r="N534" s="230">
        <f t="shared" ref="N534:N540" si="334">H534+I534</f>
        <v>401423.75</v>
      </c>
      <c r="O534" s="227">
        <f>SUM(O535:O540)</f>
        <v>307299</v>
      </c>
      <c r="P534" s="227">
        <f>SUM(P535:P542)</f>
        <v>350770</v>
      </c>
      <c r="Q534" s="227">
        <f t="shared" ref="Q534:W534" si="335">SUM(Q535:Q542)</f>
        <v>0</v>
      </c>
      <c r="R534" s="227">
        <f t="shared" si="335"/>
        <v>0</v>
      </c>
      <c r="S534" s="227">
        <f t="shared" si="335"/>
        <v>0</v>
      </c>
      <c r="T534" s="227">
        <f t="shared" si="335"/>
        <v>0</v>
      </c>
      <c r="U534" s="227">
        <f t="shared" si="335"/>
        <v>0</v>
      </c>
      <c r="V534" s="227">
        <f t="shared" si="335"/>
        <v>0</v>
      </c>
      <c r="W534" s="227">
        <f t="shared" si="335"/>
        <v>350770</v>
      </c>
      <c r="X534" s="368"/>
      <c r="Y534" s="320"/>
      <c r="Z534" s="369"/>
      <c r="AA534" s="227">
        <f>SUM(AA535:AA542)</f>
        <v>320770</v>
      </c>
      <c r="AB534" s="227">
        <f t="shared" ref="AB534" si="336">SUM(AB535:AB542)</f>
        <v>350770</v>
      </c>
    </row>
    <row r="535" spans="1:28" x14ac:dyDescent="0.2">
      <c r="A535" s="12" t="s">
        <v>360</v>
      </c>
      <c r="B535" s="13"/>
      <c r="C535" s="14"/>
      <c r="D535" s="14"/>
      <c r="E535" s="15" t="s">
        <v>46</v>
      </c>
      <c r="F535" s="14" t="s">
        <v>48</v>
      </c>
      <c r="G535" s="14" t="s">
        <v>49</v>
      </c>
      <c r="H535" s="37">
        <v>30000</v>
      </c>
      <c r="I535" s="37">
        <f t="shared" si="333"/>
        <v>0</v>
      </c>
      <c r="J535" s="37">
        <v>0</v>
      </c>
      <c r="K535" s="38"/>
      <c r="L535" s="38"/>
      <c r="M535" s="38"/>
      <c r="N535" s="39">
        <f t="shared" si="334"/>
        <v>30000</v>
      </c>
      <c r="O535" s="37">
        <f>30000*80%</f>
        <v>24000</v>
      </c>
      <c r="P535" s="60">
        <v>40000</v>
      </c>
      <c r="Q535" s="37">
        <f>R535+S535+T535+U535+V535</f>
        <v>0</v>
      </c>
      <c r="R535" s="37"/>
      <c r="S535" s="37"/>
      <c r="T535" s="37"/>
      <c r="U535" s="37"/>
      <c r="V535" s="37"/>
      <c r="W535" s="37">
        <v>40000</v>
      </c>
      <c r="X535" s="320"/>
      <c r="Y535" s="320"/>
      <c r="Z535" s="353"/>
      <c r="AA535" s="37">
        <v>40000</v>
      </c>
      <c r="AB535" s="37">
        <v>40000</v>
      </c>
    </row>
    <row r="536" spans="1:28" x14ac:dyDescent="0.2">
      <c r="A536" s="232" t="s">
        <v>57</v>
      </c>
      <c r="B536" s="13"/>
      <c r="C536" s="14"/>
      <c r="D536" s="14"/>
      <c r="E536" s="15" t="s">
        <v>46</v>
      </c>
      <c r="F536" s="14" t="s">
        <v>58</v>
      </c>
      <c r="G536" s="14" t="s">
        <v>64</v>
      </c>
      <c r="H536" s="37">
        <v>40000</v>
      </c>
      <c r="I536" s="37">
        <f t="shared" si="333"/>
        <v>0</v>
      </c>
      <c r="J536" s="37">
        <v>0</v>
      </c>
      <c r="K536" s="38">
        <v>0</v>
      </c>
      <c r="L536" s="38">
        <v>0</v>
      </c>
      <c r="M536" s="38">
        <v>0</v>
      </c>
      <c r="N536" s="39">
        <f t="shared" si="334"/>
        <v>40000</v>
      </c>
      <c r="O536" s="37">
        <f>40000*80%</f>
        <v>32000</v>
      </c>
      <c r="P536" s="60">
        <v>135000</v>
      </c>
      <c r="Q536" s="37">
        <f t="shared" ref="Q536:Q541" si="337">R536+S536+T536+U536+V536</f>
        <v>0</v>
      </c>
      <c r="R536" s="37"/>
      <c r="S536" s="37"/>
      <c r="T536" s="37"/>
      <c r="U536" s="37"/>
      <c r="V536" s="37"/>
      <c r="W536" s="37">
        <v>135000</v>
      </c>
      <c r="X536" s="320"/>
      <c r="Y536" s="320"/>
      <c r="Z536" s="353"/>
      <c r="AA536" s="37">
        <v>135000</v>
      </c>
      <c r="AB536" s="37">
        <v>135000</v>
      </c>
    </row>
    <row r="537" spans="1:28" x14ac:dyDescent="0.2">
      <c r="A537" s="232" t="s">
        <v>361</v>
      </c>
      <c r="B537" s="13"/>
      <c r="C537" s="14"/>
      <c r="D537" s="14"/>
      <c r="E537" s="15" t="s">
        <v>113</v>
      </c>
      <c r="F537" s="14" t="s">
        <v>362</v>
      </c>
      <c r="G537" s="14" t="s">
        <v>363</v>
      </c>
      <c r="H537" s="37">
        <f>109623.75+20000</f>
        <v>129623.75</v>
      </c>
      <c r="I537" s="37">
        <f t="shared" si="333"/>
        <v>-17300</v>
      </c>
      <c r="J537" s="37">
        <v>-17300</v>
      </c>
      <c r="K537" s="38"/>
      <c r="L537" s="38"/>
      <c r="M537" s="38"/>
      <c r="N537" s="39">
        <f t="shared" si="334"/>
        <v>112323.75</v>
      </c>
      <c r="O537" s="37">
        <f>(109623.75+20000)*80%</f>
        <v>103699</v>
      </c>
      <c r="P537" s="60">
        <v>100000</v>
      </c>
      <c r="Q537" s="37">
        <f t="shared" si="337"/>
        <v>-50000</v>
      </c>
      <c r="R537" s="37">
        <v>-50000</v>
      </c>
      <c r="S537" s="37"/>
      <c r="T537" s="37"/>
      <c r="U537" s="37"/>
      <c r="V537" s="37"/>
      <c r="W537" s="37">
        <v>50000</v>
      </c>
      <c r="X537" s="320"/>
      <c r="Y537" s="320"/>
      <c r="Z537" s="353"/>
      <c r="AA537" s="37">
        <v>85000</v>
      </c>
      <c r="AB537" s="37">
        <v>50000</v>
      </c>
    </row>
    <row r="538" spans="1:28" x14ac:dyDescent="0.2">
      <c r="A538" s="232" t="s">
        <v>361</v>
      </c>
      <c r="B538" s="13"/>
      <c r="C538" s="14"/>
      <c r="D538" s="14"/>
      <c r="E538" s="15" t="s">
        <v>161</v>
      </c>
      <c r="F538" s="14" t="s">
        <v>362</v>
      </c>
      <c r="G538" s="14" t="s">
        <v>410</v>
      </c>
      <c r="H538" s="37"/>
      <c r="I538" s="37"/>
      <c r="J538" s="37"/>
      <c r="K538" s="38"/>
      <c r="L538" s="38"/>
      <c r="M538" s="38"/>
      <c r="N538" s="39"/>
      <c r="O538" s="37"/>
      <c r="P538" s="60">
        <v>30000</v>
      </c>
      <c r="Q538" s="37">
        <f t="shared" si="337"/>
        <v>0</v>
      </c>
      <c r="R538" s="37"/>
      <c r="S538" s="37"/>
      <c r="T538" s="37"/>
      <c r="U538" s="37"/>
      <c r="V538" s="37"/>
      <c r="W538" s="37">
        <v>30000</v>
      </c>
      <c r="X538" s="320"/>
      <c r="Y538" s="320"/>
      <c r="Z538" s="353"/>
      <c r="AA538" s="37">
        <v>30000</v>
      </c>
      <c r="AB538" s="37">
        <v>30000</v>
      </c>
    </row>
    <row r="539" spans="1:28" ht="25.5" x14ac:dyDescent="0.2">
      <c r="A539" s="232" t="s">
        <v>364</v>
      </c>
      <c r="B539" s="13"/>
      <c r="C539" s="14"/>
      <c r="D539" s="14"/>
      <c r="E539" s="15" t="s">
        <v>46</v>
      </c>
      <c r="F539" s="14" t="s">
        <v>496</v>
      </c>
      <c r="G539" s="14" t="s">
        <v>166</v>
      </c>
      <c r="H539" s="37">
        <v>24500</v>
      </c>
      <c r="I539" s="37">
        <f t="shared" si="333"/>
        <v>0</v>
      </c>
      <c r="J539" s="37">
        <v>0</v>
      </c>
      <c r="K539" s="38">
        <v>0</v>
      </c>
      <c r="L539" s="38">
        <v>0</v>
      </c>
      <c r="M539" s="38">
        <v>0</v>
      </c>
      <c r="N539" s="39">
        <f t="shared" si="334"/>
        <v>24500</v>
      </c>
      <c r="O539" s="37">
        <f>24500*80%</f>
        <v>19600</v>
      </c>
      <c r="P539" s="60">
        <v>23500</v>
      </c>
      <c r="Q539" s="37">
        <f t="shared" si="337"/>
        <v>0</v>
      </c>
      <c r="R539" s="37"/>
      <c r="S539" s="37"/>
      <c r="T539" s="37"/>
      <c r="U539" s="37"/>
      <c r="V539" s="37"/>
      <c r="W539" s="37">
        <v>23500</v>
      </c>
      <c r="X539" s="320"/>
      <c r="Y539" s="320"/>
      <c r="Z539" s="353"/>
      <c r="AA539" s="37">
        <v>23500</v>
      </c>
      <c r="AB539" s="37">
        <v>23500</v>
      </c>
    </row>
    <row r="540" spans="1:28" hidden="1" x14ac:dyDescent="0.2">
      <c r="A540" s="232" t="s">
        <v>65</v>
      </c>
      <c r="B540" s="13"/>
      <c r="C540" s="14"/>
      <c r="D540" s="14"/>
      <c r="E540" s="15" t="s">
        <v>46</v>
      </c>
      <c r="F540" s="14" t="s">
        <v>66</v>
      </c>
      <c r="G540" s="14" t="s">
        <v>69</v>
      </c>
      <c r="H540" s="37">
        <f>40000+150000-30000</f>
        <v>160000</v>
      </c>
      <c r="I540" s="37">
        <f t="shared" si="333"/>
        <v>0</v>
      </c>
      <c r="J540" s="37">
        <v>0</v>
      </c>
      <c r="K540" s="38">
        <v>0</v>
      </c>
      <c r="L540" s="38">
        <v>0</v>
      </c>
      <c r="M540" s="38">
        <v>0</v>
      </c>
      <c r="N540" s="39">
        <f t="shared" si="334"/>
        <v>160000</v>
      </c>
      <c r="O540" s="37">
        <f>(40000+150000-30000)*80%</f>
        <v>128000</v>
      </c>
      <c r="P540" s="60">
        <v>0</v>
      </c>
      <c r="Q540" s="37">
        <f t="shared" si="337"/>
        <v>0</v>
      </c>
      <c r="R540" s="37"/>
      <c r="S540" s="37"/>
      <c r="T540" s="37"/>
      <c r="U540" s="37"/>
      <c r="V540" s="37"/>
      <c r="W540" s="37">
        <f t="shared" ref="W540:W542" si="338">P540+Q540</f>
        <v>0</v>
      </c>
      <c r="X540" s="320"/>
      <c r="Y540" s="320"/>
      <c r="Z540" s="353"/>
      <c r="AA540" s="37"/>
      <c r="AB540" s="37">
        <f t="shared" ref="AB540:AB542" si="339">U540+V540</f>
        <v>0</v>
      </c>
    </row>
    <row r="541" spans="1:28" x14ac:dyDescent="0.2">
      <c r="A541" s="329" t="s">
        <v>435</v>
      </c>
      <c r="B541" s="13"/>
      <c r="C541" s="14"/>
      <c r="D541" s="14"/>
      <c r="E541" s="15" t="s">
        <v>430</v>
      </c>
      <c r="F541" s="14" t="s">
        <v>362</v>
      </c>
      <c r="G541" s="14" t="s">
        <v>363</v>
      </c>
      <c r="H541" s="37"/>
      <c r="I541" s="37"/>
      <c r="J541" s="37"/>
      <c r="K541" s="38"/>
      <c r="L541" s="38"/>
      <c r="M541" s="38"/>
      <c r="N541" s="63"/>
      <c r="O541" s="37"/>
      <c r="P541" s="60">
        <v>22270</v>
      </c>
      <c r="Q541" s="37">
        <f t="shared" si="337"/>
        <v>50000</v>
      </c>
      <c r="R541" s="37">
        <v>50000</v>
      </c>
      <c r="S541" s="37"/>
      <c r="T541" s="37"/>
      <c r="U541" s="37"/>
      <c r="V541" s="37"/>
      <c r="W541" s="37">
        <v>72270</v>
      </c>
      <c r="X541" s="320"/>
      <c r="Y541" s="320"/>
      <c r="Z541" s="353"/>
      <c r="AA541" s="37">
        <f>7270</f>
        <v>7270</v>
      </c>
      <c r="AB541" s="37">
        <v>72270</v>
      </c>
    </row>
    <row r="542" spans="1:28" hidden="1" x14ac:dyDescent="0.2">
      <c r="A542" s="329" t="s">
        <v>436</v>
      </c>
      <c r="B542" s="13"/>
      <c r="C542" s="14"/>
      <c r="D542" s="14"/>
      <c r="E542" s="15" t="s">
        <v>430</v>
      </c>
      <c r="F542" s="14" t="s">
        <v>77</v>
      </c>
      <c r="G542" s="14" t="s">
        <v>79</v>
      </c>
      <c r="H542" s="37"/>
      <c r="I542" s="37"/>
      <c r="J542" s="37"/>
      <c r="K542" s="38"/>
      <c r="L542" s="38"/>
      <c r="M542" s="38"/>
      <c r="N542" s="63"/>
      <c r="O542" s="37"/>
      <c r="P542" s="60">
        <v>0</v>
      </c>
      <c r="Q542" s="37">
        <f>R542+S542+T542+U542</f>
        <v>0</v>
      </c>
      <c r="R542" s="37">
        <v>0</v>
      </c>
      <c r="S542" s="37"/>
      <c r="T542" s="37"/>
      <c r="U542" s="37"/>
      <c r="V542" s="37"/>
      <c r="W542" s="37">
        <f t="shared" si="338"/>
        <v>0</v>
      </c>
      <c r="X542" s="320"/>
      <c r="Y542" s="320"/>
      <c r="Z542" s="353"/>
      <c r="AA542" s="37">
        <v>0</v>
      </c>
      <c r="AB542" s="37">
        <f t="shared" si="339"/>
        <v>0</v>
      </c>
    </row>
    <row r="543" spans="1:28" s="231" customFormat="1" ht="38.25" x14ac:dyDescent="0.2">
      <c r="A543" s="233" t="s">
        <v>365</v>
      </c>
      <c r="B543" s="94">
        <v>804</v>
      </c>
      <c r="C543" s="31" t="s">
        <v>357</v>
      </c>
      <c r="D543" s="31" t="s">
        <v>467</v>
      </c>
      <c r="E543" s="32" t="s">
        <v>19</v>
      </c>
      <c r="F543" s="31" t="s">
        <v>19</v>
      </c>
      <c r="G543" s="31" t="s">
        <v>359</v>
      </c>
      <c r="H543" s="227">
        <f>SUM(H544:H549)</f>
        <v>151774.25</v>
      </c>
      <c r="I543" s="228"/>
      <c r="J543" s="228"/>
      <c r="K543" s="234"/>
      <c r="L543" s="234"/>
      <c r="M543" s="234"/>
      <c r="N543" s="235"/>
      <c r="O543" s="227">
        <f>SUM(O544:O549)</f>
        <v>121419.4</v>
      </c>
      <c r="P543" s="227">
        <f>SUM(P544:P554)</f>
        <v>153000</v>
      </c>
      <c r="Q543" s="227">
        <f t="shared" ref="Q543:V543" si="340">SUM(Q544:Q554)</f>
        <v>0</v>
      </c>
      <c r="R543" s="227">
        <f t="shared" si="340"/>
        <v>0</v>
      </c>
      <c r="S543" s="227">
        <f t="shared" si="340"/>
        <v>0</v>
      </c>
      <c r="T543" s="227">
        <f t="shared" si="340"/>
        <v>0</v>
      </c>
      <c r="U543" s="227">
        <f t="shared" si="340"/>
        <v>0</v>
      </c>
      <c r="V543" s="227">
        <f t="shared" si="340"/>
        <v>0</v>
      </c>
      <c r="W543" s="227">
        <f>SUM(W544:W554)</f>
        <v>153000</v>
      </c>
      <c r="X543" s="368"/>
      <c r="Y543" s="320"/>
      <c r="Z543" s="369"/>
      <c r="AA543" s="227">
        <f>SUM(AA544:AA550)</f>
        <v>153000</v>
      </c>
      <c r="AB543" s="227">
        <f>SUM(AB544:AB554)</f>
        <v>153000</v>
      </c>
    </row>
    <row r="544" spans="1:28" x14ac:dyDescent="0.2">
      <c r="A544" s="12" t="s">
        <v>360</v>
      </c>
      <c r="B544" s="13"/>
      <c r="C544" s="14"/>
      <c r="D544" s="14"/>
      <c r="E544" s="15" t="s">
        <v>46</v>
      </c>
      <c r="F544" s="14" t="s">
        <v>48</v>
      </c>
      <c r="G544" s="14" t="s">
        <v>49</v>
      </c>
      <c r="H544" s="37">
        <v>30000</v>
      </c>
      <c r="I544" s="37"/>
      <c r="J544" s="37"/>
      <c r="K544" s="38"/>
      <c r="L544" s="38"/>
      <c r="M544" s="38"/>
      <c r="N544" s="63"/>
      <c r="O544" s="37">
        <f>30000*80%</f>
        <v>24000</v>
      </c>
      <c r="P544" s="60">
        <v>27000</v>
      </c>
      <c r="Q544" s="37">
        <f t="shared" ref="Q544:Q549" si="341">R544+S544+T544+U544+V544</f>
        <v>0</v>
      </c>
      <c r="R544" s="37"/>
      <c r="S544" s="37"/>
      <c r="T544" s="37"/>
      <c r="U544" s="37"/>
      <c r="V544" s="37"/>
      <c r="W544" s="183">
        <v>27000</v>
      </c>
      <c r="X544" s="320"/>
      <c r="Y544" s="320"/>
      <c r="Z544" s="353"/>
      <c r="AA544" s="37">
        <v>27000</v>
      </c>
      <c r="AB544" s="183">
        <v>27000</v>
      </c>
    </row>
    <row r="545" spans="1:28" hidden="1" x14ac:dyDescent="0.2">
      <c r="A545" s="232" t="s">
        <v>57</v>
      </c>
      <c r="B545" s="13"/>
      <c r="C545" s="14"/>
      <c r="D545" s="14"/>
      <c r="E545" s="15" t="s">
        <v>46</v>
      </c>
      <c r="F545" s="14" t="s">
        <v>58</v>
      </c>
      <c r="G545" s="14" t="s">
        <v>64</v>
      </c>
      <c r="H545" s="37">
        <v>10000</v>
      </c>
      <c r="I545" s="37"/>
      <c r="J545" s="37"/>
      <c r="K545" s="38"/>
      <c r="L545" s="38"/>
      <c r="M545" s="38"/>
      <c r="N545" s="63"/>
      <c r="O545" s="37">
        <f>10000*80%</f>
        <v>8000</v>
      </c>
      <c r="P545" s="60">
        <v>0</v>
      </c>
      <c r="Q545" s="37">
        <f t="shared" si="341"/>
        <v>0</v>
      </c>
      <c r="R545" s="37"/>
      <c r="S545" s="37"/>
      <c r="T545" s="37"/>
      <c r="U545" s="37"/>
      <c r="V545" s="37"/>
      <c r="W545" s="37">
        <f t="shared" ref="W545:W553" si="342">P545+Q545</f>
        <v>0</v>
      </c>
      <c r="X545" s="320"/>
      <c r="Y545" s="320"/>
      <c r="Z545" s="353"/>
      <c r="AA545" s="37"/>
      <c r="AB545" s="37">
        <f t="shared" ref="AB545:AB553" si="343">U545+V545</f>
        <v>0</v>
      </c>
    </row>
    <row r="546" spans="1:28" x14ac:dyDescent="0.2">
      <c r="A546" s="232" t="s">
        <v>361</v>
      </c>
      <c r="B546" s="13"/>
      <c r="C546" s="14"/>
      <c r="D546" s="14"/>
      <c r="E546" s="15" t="s">
        <v>113</v>
      </c>
      <c r="F546" s="14" t="s">
        <v>362</v>
      </c>
      <c r="G546" s="14" t="s">
        <v>363</v>
      </c>
      <c r="H546" s="37">
        <f>21924.75+21924.75+21924.75</f>
        <v>65774.25</v>
      </c>
      <c r="I546" s="37"/>
      <c r="J546" s="37"/>
      <c r="K546" s="38"/>
      <c r="L546" s="38"/>
      <c r="M546" s="38"/>
      <c r="N546" s="63"/>
      <c r="O546" s="37">
        <f>(21924.75+21924.75+21924.75)*80%</f>
        <v>52619.4</v>
      </c>
      <c r="P546" s="60">
        <v>75000</v>
      </c>
      <c r="Q546" s="37">
        <f t="shared" si="341"/>
        <v>0</v>
      </c>
      <c r="R546" s="37"/>
      <c r="S546" s="37"/>
      <c r="T546" s="37"/>
      <c r="U546" s="37"/>
      <c r="V546" s="37"/>
      <c r="W546" s="37">
        <v>75000</v>
      </c>
      <c r="X546" s="320"/>
      <c r="Y546" s="320"/>
      <c r="Z546" s="353"/>
      <c r="AA546" s="37">
        <v>75000</v>
      </c>
      <c r="AB546" s="37">
        <v>75000</v>
      </c>
    </row>
    <row r="547" spans="1:28" ht="25.5" x14ac:dyDescent="0.2">
      <c r="A547" s="232" t="s">
        <v>364</v>
      </c>
      <c r="B547" s="13"/>
      <c r="C547" s="14"/>
      <c r="D547" s="14"/>
      <c r="E547" s="15" t="s">
        <v>46</v>
      </c>
      <c r="F547" s="14" t="s">
        <v>496</v>
      </c>
      <c r="G547" s="14" t="s">
        <v>166</v>
      </c>
      <c r="H547" s="37">
        <v>21000</v>
      </c>
      <c r="I547" s="37"/>
      <c r="J547" s="37"/>
      <c r="K547" s="38"/>
      <c r="L547" s="38"/>
      <c r="M547" s="38"/>
      <c r="N547" s="63"/>
      <c r="O547" s="37">
        <f>21000*80%</f>
        <v>16800</v>
      </c>
      <c r="P547" s="60">
        <v>26000</v>
      </c>
      <c r="Q547" s="37">
        <f t="shared" si="341"/>
        <v>-11402</v>
      </c>
      <c r="R547" s="37">
        <v>-11402</v>
      </c>
      <c r="S547" s="37"/>
      <c r="T547" s="37"/>
      <c r="U547" s="37"/>
      <c r="V547" s="37"/>
      <c r="W547" s="37">
        <v>14598</v>
      </c>
      <c r="X547" s="320">
        <f>14598-W547</f>
        <v>0</v>
      </c>
      <c r="Y547" s="320"/>
      <c r="Z547" s="353"/>
      <c r="AA547" s="37">
        <v>26000</v>
      </c>
      <c r="AB547" s="37">
        <v>14598</v>
      </c>
    </row>
    <row r="548" spans="1:28" hidden="1" x14ac:dyDescent="0.2">
      <c r="A548" s="232" t="s">
        <v>57</v>
      </c>
      <c r="B548" s="13"/>
      <c r="C548" s="14"/>
      <c r="D548" s="14"/>
      <c r="E548" s="15" t="s">
        <v>46</v>
      </c>
      <c r="F548" s="14" t="s">
        <v>58</v>
      </c>
      <c r="G548" s="14" t="s">
        <v>64</v>
      </c>
      <c r="H548" s="37"/>
      <c r="I548" s="37"/>
      <c r="J548" s="37"/>
      <c r="K548" s="38"/>
      <c r="L548" s="38"/>
      <c r="M548" s="38"/>
      <c r="N548" s="63"/>
      <c r="O548" s="37"/>
      <c r="P548" s="60">
        <v>0</v>
      </c>
      <c r="Q548" s="37">
        <f t="shared" si="341"/>
        <v>0</v>
      </c>
      <c r="R548" s="37">
        <v>0</v>
      </c>
      <c r="S548" s="37"/>
      <c r="T548" s="37"/>
      <c r="U548" s="37"/>
      <c r="V548" s="37"/>
      <c r="W548" s="37">
        <f t="shared" si="342"/>
        <v>0</v>
      </c>
      <c r="X548" s="320"/>
      <c r="Y548" s="320"/>
      <c r="Z548" s="353"/>
      <c r="AA548" s="37">
        <v>0</v>
      </c>
      <c r="AB548" s="37">
        <f t="shared" si="343"/>
        <v>0</v>
      </c>
    </row>
    <row r="549" spans="1:28" x14ac:dyDescent="0.2">
      <c r="A549" s="232" t="s">
        <v>65</v>
      </c>
      <c r="B549" s="13"/>
      <c r="C549" s="14"/>
      <c r="D549" s="14"/>
      <c r="E549" s="15" t="s">
        <v>46</v>
      </c>
      <c r="F549" s="14" t="s">
        <v>496</v>
      </c>
      <c r="G549" s="14" t="s">
        <v>69</v>
      </c>
      <c r="H549" s="37">
        <f>25000</f>
        <v>25000</v>
      </c>
      <c r="I549" s="37"/>
      <c r="J549" s="37"/>
      <c r="K549" s="38"/>
      <c r="L549" s="38"/>
      <c r="M549" s="38"/>
      <c r="N549" s="63"/>
      <c r="O549" s="37">
        <f>25000*80%</f>
        <v>20000</v>
      </c>
      <c r="P549" s="60">
        <v>25000</v>
      </c>
      <c r="Q549" s="37">
        <f t="shared" si="341"/>
        <v>0</v>
      </c>
      <c r="R549" s="37"/>
      <c r="S549" s="37"/>
      <c r="T549" s="37"/>
      <c r="U549" s="37"/>
      <c r="V549" s="37"/>
      <c r="W549" s="37">
        <v>25000</v>
      </c>
      <c r="X549" s="320"/>
      <c r="Y549" s="320"/>
      <c r="Z549" s="353"/>
      <c r="AA549" s="37">
        <v>25000</v>
      </c>
      <c r="AB549" s="37">
        <v>25000</v>
      </c>
    </row>
    <row r="550" spans="1:28" hidden="1" x14ac:dyDescent="0.2">
      <c r="A550" s="329" t="s">
        <v>437</v>
      </c>
      <c r="B550" s="13"/>
      <c r="C550" s="14"/>
      <c r="D550" s="14"/>
      <c r="E550" s="15" t="s">
        <v>46</v>
      </c>
      <c r="F550" s="14" t="s">
        <v>77</v>
      </c>
      <c r="G550" s="14" t="s">
        <v>81</v>
      </c>
      <c r="H550" s="37"/>
      <c r="I550" s="37"/>
      <c r="J550" s="37"/>
      <c r="K550" s="38"/>
      <c r="L550" s="38"/>
      <c r="M550" s="38"/>
      <c r="N550" s="63"/>
      <c r="O550" s="37"/>
      <c r="P550" s="60">
        <v>0</v>
      </c>
      <c r="Q550" s="37">
        <f t="shared" ref="Q550:Q555" si="344">R550+S550+T550+U550</f>
        <v>0</v>
      </c>
      <c r="R550" s="37">
        <v>0</v>
      </c>
      <c r="S550" s="37"/>
      <c r="T550" s="37"/>
      <c r="U550" s="37"/>
      <c r="V550" s="37"/>
      <c r="W550" s="37">
        <f t="shared" si="342"/>
        <v>0</v>
      </c>
      <c r="X550" s="320"/>
      <c r="Y550" s="320"/>
      <c r="Z550" s="353"/>
      <c r="AA550" s="37">
        <v>0</v>
      </c>
      <c r="AB550" s="37">
        <f t="shared" si="343"/>
        <v>0</v>
      </c>
    </row>
    <row r="551" spans="1:28" s="109" customFormat="1" hidden="1" x14ac:dyDescent="0.2">
      <c r="A551" s="233" t="s">
        <v>152</v>
      </c>
      <c r="B551" s="94">
        <v>804</v>
      </c>
      <c r="C551" s="31" t="s">
        <v>357</v>
      </c>
      <c r="D551" s="49" t="s">
        <v>366</v>
      </c>
      <c r="E551" s="32"/>
      <c r="F551" s="31"/>
      <c r="G551" s="31"/>
      <c r="H551" s="33">
        <f>H552</f>
        <v>91512</v>
      </c>
      <c r="I551" s="33"/>
      <c r="J551" s="33"/>
      <c r="K551" s="34"/>
      <c r="L551" s="34"/>
      <c r="M551" s="34"/>
      <c r="N551" s="236"/>
      <c r="O551" s="33">
        <f>O552</f>
        <v>73209.600000000006</v>
      </c>
      <c r="P551" s="281">
        <f>P552+P553</f>
        <v>0</v>
      </c>
      <c r="Q551" s="51">
        <f t="shared" si="344"/>
        <v>0</v>
      </c>
      <c r="R551" s="33">
        <f>R552+R553</f>
        <v>0</v>
      </c>
      <c r="S551" s="33">
        <f>S552+S553</f>
        <v>0</v>
      </c>
      <c r="T551" s="33">
        <f>T552+T553</f>
        <v>0</v>
      </c>
      <c r="U551" s="33">
        <f>U552+U553</f>
        <v>0</v>
      </c>
      <c r="V551" s="33"/>
      <c r="W551" s="37">
        <f t="shared" si="342"/>
        <v>0</v>
      </c>
      <c r="X551" s="319"/>
      <c r="Y551" s="320"/>
      <c r="Z551" s="358"/>
      <c r="AA551" s="33">
        <f>AA552+AA553</f>
        <v>0</v>
      </c>
      <c r="AB551" s="37">
        <f t="shared" si="343"/>
        <v>0</v>
      </c>
    </row>
    <row r="552" spans="1:28" ht="25.5" hidden="1" x14ac:dyDescent="0.2">
      <c r="A552" s="12" t="s">
        <v>423</v>
      </c>
      <c r="B552" s="13"/>
      <c r="C552" s="14"/>
      <c r="D552" s="14" t="s">
        <v>366</v>
      </c>
      <c r="E552" s="15" t="s">
        <v>46</v>
      </c>
      <c r="F552" s="14" t="s">
        <v>66</v>
      </c>
      <c r="G552" s="14" t="s">
        <v>166</v>
      </c>
      <c r="H552" s="37">
        <f>183024/2</f>
        <v>91512</v>
      </c>
      <c r="I552" s="37"/>
      <c r="J552" s="37"/>
      <c r="K552" s="38"/>
      <c r="L552" s="38"/>
      <c r="M552" s="38"/>
      <c r="N552" s="63"/>
      <c r="O552" s="37">
        <f>(183024/2)*80%</f>
        <v>73209.600000000006</v>
      </c>
      <c r="P552" s="60">
        <v>0</v>
      </c>
      <c r="Q552" s="37">
        <f t="shared" si="344"/>
        <v>0</v>
      </c>
      <c r="R552" s="37">
        <v>0</v>
      </c>
      <c r="S552" s="37"/>
      <c r="T552" s="37"/>
      <c r="U552" s="37"/>
      <c r="V552" s="37"/>
      <c r="W552" s="37">
        <f t="shared" si="342"/>
        <v>0</v>
      </c>
      <c r="X552" s="320"/>
      <c r="Y552" s="320"/>
      <c r="Z552" s="353"/>
      <c r="AA552" s="37">
        <v>0</v>
      </c>
      <c r="AB552" s="37">
        <f t="shared" si="343"/>
        <v>0</v>
      </c>
    </row>
    <row r="553" spans="1:28" ht="25.5" hidden="1" x14ac:dyDescent="0.2">
      <c r="A553" s="12" t="s">
        <v>423</v>
      </c>
      <c r="B553" s="13"/>
      <c r="C553" s="14"/>
      <c r="D553" s="14" t="s">
        <v>366</v>
      </c>
      <c r="E553" s="15" t="s">
        <v>161</v>
      </c>
      <c r="F553" s="14" t="s">
        <v>66</v>
      </c>
      <c r="G553" s="14" t="s">
        <v>69</v>
      </c>
      <c r="H553" s="37"/>
      <c r="I553" s="37"/>
      <c r="J553" s="37"/>
      <c r="K553" s="38"/>
      <c r="L553" s="38"/>
      <c r="M553" s="38"/>
      <c r="N553" s="63"/>
      <c r="O553" s="37"/>
      <c r="P553" s="60">
        <v>0</v>
      </c>
      <c r="Q553" s="37">
        <f t="shared" si="344"/>
        <v>0</v>
      </c>
      <c r="R553" s="37">
        <v>0</v>
      </c>
      <c r="S553" s="37"/>
      <c r="T553" s="37"/>
      <c r="U553" s="37"/>
      <c r="V553" s="37"/>
      <c r="W553" s="37">
        <f t="shared" si="342"/>
        <v>0</v>
      </c>
      <c r="X553" s="320"/>
      <c r="Y553" s="320"/>
      <c r="Z553" s="353"/>
      <c r="AA553" s="37">
        <v>0</v>
      </c>
      <c r="AB553" s="37">
        <f t="shared" si="343"/>
        <v>0</v>
      </c>
    </row>
    <row r="554" spans="1:28" ht="25.5" x14ac:dyDescent="0.2">
      <c r="A554" s="46" t="s">
        <v>328</v>
      </c>
      <c r="B554" s="13"/>
      <c r="C554" s="14"/>
      <c r="D554" s="14"/>
      <c r="E554" s="15" t="s">
        <v>46</v>
      </c>
      <c r="F554" s="14" t="s">
        <v>77</v>
      </c>
      <c r="G554" s="14" t="s">
        <v>81</v>
      </c>
      <c r="H554" s="37"/>
      <c r="I554" s="37"/>
      <c r="J554" s="37"/>
      <c r="K554" s="38"/>
      <c r="L554" s="38"/>
      <c r="M554" s="38"/>
      <c r="N554" s="63"/>
      <c r="O554" s="37"/>
      <c r="P554" s="60">
        <v>0</v>
      </c>
      <c r="Q554" s="37">
        <f t="shared" si="344"/>
        <v>11402</v>
      </c>
      <c r="R554" s="37">
        <v>11402</v>
      </c>
      <c r="S554" s="37"/>
      <c r="T554" s="37"/>
      <c r="U554" s="37"/>
      <c r="V554" s="37"/>
      <c r="W554" s="37">
        <v>11402</v>
      </c>
      <c r="X554" s="320"/>
      <c r="Y554" s="320"/>
      <c r="Z554" s="353"/>
      <c r="AA554" s="37"/>
      <c r="AB554" s="37">
        <v>11402</v>
      </c>
    </row>
    <row r="555" spans="1:28" ht="25.5" x14ac:dyDescent="0.2">
      <c r="A555" s="225" t="s">
        <v>361</v>
      </c>
      <c r="B555" s="48"/>
      <c r="C555" s="49" t="s">
        <v>357</v>
      </c>
      <c r="D555" s="49" t="s">
        <v>366</v>
      </c>
      <c r="E555" s="50" t="s">
        <v>430</v>
      </c>
      <c r="F555" s="49" t="s">
        <v>362</v>
      </c>
      <c r="G555" s="49" t="s">
        <v>363</v>
      </c>
      <c r="H555" s="51"/>
      <c r="I555" s="51"/>
      <c r="J555" s="51"/>
      <c r="K555" s="52"/>
      <c r="L555" s="52"/>
      <c r="M555" s="52"/>
      <c r="N555" s="349"/>
      <c r="O555" s="51"/>
      <c r="P555" s="282">
        <v>0</v>
      </c>
      <c r="Q555" s="51">
        <f t="shared" si="344"/>
        <v>20000</v>
      </c>
      <c r="R555" s="51">
        <v>20000</v>
      </c>
      <c r="S555" s="51"/>
      <c r="T555" s="51"/>
      <c r="U555" s="51"/>
      <c r="V555" s="51"/>
      <c r="W555" s="37">
        <v>20000</v>
      </c>
      <c r="X555" s="320"/>
      <c r="Y555" s="320"/>
      <c r="Z555" s="353"/>
      <c r="AA555" s="37"/>
      <c r="AB555" s="37">
        <v>20000</v>
      </c>
    </row>
    <row r="556" spans="1:28" x14ac:dyDescent="0.2">
      <c r="A556" s="22" t="s">
        <v>367</v>
      </c>
      <c r="B556" s="23"/>
      <c r="C556" s="24" t="s">
        <v>359</v>
      </c>
      <c r="D556" s="24" t="s">
        <v>18</v>
      </c>
      <c r="E556" s="25" t="s">
        <v>19</v>
      </c>
      <c r="F556" s="24"/>
      <c r="G556" s="24"/>
      <c r="H556" s="26">
        <f t="shared" ref="H556:N556" si="345">H557+H558</f>
        <v>1546209.9</v>
      </c>
      <c r="I556" s="26">
        <f t="shared" si="345"/>
        <v>0</v>
      </c>
      <c r="J556" s="26">
        <f t="shared" si="345"/>
        <v>0</v>
      </c>
      <c r="K556" s="26">
        <f t="shared" si="345"/>
        <v>0</v>
      </c>
      <c r="L556" s="26">
        <f t="shared" si="345"/>
        <v>0</v>
      </c>
      <c r="M556" s="26">
        <f t="shared" si="345"/>
        <v>0</v>
      </c>
      <c r="N556" s="26">
        <f t="shared" si="345"/>
        <v>1546209.9</v>
      </c>
      <c r="O556" s="26">
        <f>O557+O558</f>
        <v>1546209.9</v>
      </c>
      <c r="P556" s="280">
        <f>P557+P558</f>
        <v>973933.14999999991</v>
      </c>
      <c r="Q556" s="280">
        <f t="shared" ref="Q556:V556" si="346">Q557+Q558</f>
        <v>0</v>
      </c>
      <c r="R556" s="280">
        <f t="shared" si="346"/>
        <v>0</v>
      </c>
      <c r="S556" s="280">
        <f t="shared" si="346"/>
        <v>0</v>
      </c>
      <c r="T556" s="280">
        <f t="shared" si="346"/>
        <v>0</v>
      </c>
      <c r="U556" s="280">
        <f t="shared" si="346"/>
        <v>0</v>
      </c>
      <c r="V556" s="280">
        <f t="shared" si="346"/>
        <v>0</v>
      </c>
      <c r="W556" s="280">
        <f>W557+W558</f>
        <v>888450.48999999987</v>
      </c>
      <c r="X556" s="320"/>
      <c r="Y556" s="320"/>
      <c r="Z556" s="353"/>
      <c r="AA556" s="280">
        <f>AA557+AA558</f>
        <v>195877.63999999998</v>
      </c>
      <c r="AB556" s="280">
        <f>AB557+AB558</f>
        <v>888450.48999999987</v>
      </c>
    </row>
    <row r="557" spans="1:28" s="80" customFormat="1" ht="38.25" x14ac:dyDescent="0.2">
      <c r="A557" s="204" t="s">
        <v>368</v>
      </c>
      <c r="B557" s="205">
        <v>804</v>
      </c>
      <c r="C557" s="206" t="s">
        <v>369</v>
      </c>
      <c r="D557" s="206" t="s">
        <v>370</v>
      </c>
      <c r="E557" s="207" t="s">
        <v>371</v>
      </c>
      <c r="F557" s="206" t="s">
        <v>372</v>
      </c>
      <c r="G557" s="206"/>
      <c r="H557" s="132">
        <f t="shared" ref="H557:W559" si="347">H558</f>
        <v>773104.95</v>
      </c>
      <c r="I557" s="132">
        <f t="shared" si="347"/>
        <v>0</v>
      </c>
      <c r="J557" s="132">
        <f t="shared" si="347"/>
        <v>0</v>
      </c>
      <c r="K557" s="209">
        <f t="shared" si="347"/>
        <v>0</v>
      </c>
      <c r="L557" s="209">
        <f t="shared" si="347"/>
        <v>0</v>
      </c>
      <c r="M557" s="209">
        <f t="shared" si="347"/>
        <v>0</v>
      </c>
      <c r="N557" s="210">
        <f t="shared" si="347"/>
        <v>773104.95</v>
      </c>
      <c r="O557" s="132">
        <f t="shared" si="347"/>
        <v>773104.95</v>
      </c>
      <c r="P557" s="295">
        <v>100218.96</v>
      </c>
      <c r="Q557" s="132">
        <f>R557+S557+T557+U557+V557</f>
        <v>0</v>
      </c>
      <c r="R557" s="132"/>
      <c r="S557" s="132"/>
      <c r="T557" s="132"/>
      <c r="U557" s="132">
        <v>0</v>
      </c>
      <c r="V557" s="132"/>
      <c r="W557" s="376">
        <v>25122.95</v>
      </c>
      <c r="X557" s="322">
        <f>R557-95080.58</f>
        <v>-95080.58</v>
      </c>
      <c r="Y557" s="320"/>
      <c r="Z557" s="357"/>
      <c r="AA557" s="132">
        <v>134474.4</v>
      </c>
      <c r="AB557" s="376">
        <v>25122.95</v>
      </c>
    </row>
    <row r="558" spans="1:28" ht="25.5" x14ac:dyDescent="0.2">
      <c r="A558" s="204" t="s">
        <v>373</v>
      </c>
      <c r="B558" s="205">
        <v>804</v>
      </c>
      <c r="C558" s="206" t="s">
        <v>374</v>
      </c>
      <c r="D558" s="206" t="s">
        <v>375</v>
      </c>
      <c r="E558" s="207" t="s">
        <v>376</v>
      </c>
      <c r="F558" s="206" t="s">
        <v>377</v>
      </c>
      <c r="G558" s="206"/>
      <c r="H558" s="132">
        <f t="shared" si="347"/>
        <v>773104.95</v>
      </c>
      <c r="I558" s="132">
        <f t="shared" si="347"/>
        <v>0</v>
      </c>
      <c r="J558" s="132">
        <f t="shared" si="347"/>
        <v>0</v>
      </c>
      <c r="K558" s="209">
        <f t="shared" si="347"/>
        <v>0</v>
      </c>
      <c r="L558" s="209">
        <f t="shared" si="347"/>
        <v>0</v>
      </c>
      <c r="M558" s="209">
        <f t="shared" si="347"/>
        <v>0</v>
      </c>
      <c r="N558" s="210">
        <f t="shared" si="347"/>
        <v>773104.95</v>
      </c>
      <c r="O558" s="132">
        <f t="shared" si="347"/>
        <v>773104.95</v>
      </c>
      <c r="P558" s="295">
        <f t="shared" si="347"/>
        <v>873714.19</v>
      </c>
      <c r="Q558" s="295">
        <f t="shared" si="347"/>
        <v>0</v>
      </c>
      <c r="R558" s="295">
        <f t="shared" si="347"/>
        <v>0</v>
      </c>
      <c r="S558" s="295">
        <f t="shared" si="347"/>
        <v>0</v>
      </c>
      <c r="T558" s="295">
        <f t="shared" si="347"/>
        <v>0</v>
      </c>
      <c r="U558" s="295">
        <f t="shared" si="347"/>
        <v>0</v>
      </c>
      <c r="V558" s="295">
        <f t="shared" si="347"/>
        <v>0</v>
      </c>
      <c r="W558" s="295">
        <f t="shared" si="347"/>
        <v>863327.53999999992</v>
      </c>
      <c r="X558" s="320"/>
      <c r="Y558" s="320"/>
      <c r="Z558" s="353"/>
      <c r="AA558" s="295">
        <f>AA559</f>
        <v>61403.24</v>
      </c>
      <c r="AB558" s="295">
        <f t="shared" ref="AB558:AB559" si="348">AB559</f>
        <v>863327.53999999992</v>
      </c>
    </row>
    <row r="559" spans="1:28" ht="25.5" x14ac:dyDescent="0.2">
      <c r="A559" s="237" t="s">
        <v>378</v>
      </c>
      <c r="B559" s="238">
        <v>804</v>
      </c>
      <c r="C559" s="186" t="s">
        <v>374</v>
      </c>
      <c r="D559" s="24" t="s">
        <v>375</v>
      </c>
      <c r="E559" s="239" t="s">
        <v>376</v>
      </c>
      <c r="F559" s="199" t="s">
        <v>379</v>
      </c>
      <c r="G559" s="24"/>
      <c r="H559" s="201">
        <f>H560</f>
        <v>773104.95</v>
      </c>
      <c r="I559" s="201">
        <f t="shared" si="347"/>
        <v>0</v>
      </c>
      <c r="J559" s="201">
        <f t="shared" si="347"/>
        <v>0</v>
      </c>
      <c r="K559" s="240">
        <f t="shared" si="347"/>
        <v>0</v>
      </c>
      <c r="L559" s="240">
        <f t="shared" si="347"/>
        <v>0</v>
      </c>
      <c r="M559" s="240">
        <f t="shared" si="347"/>
        <v>0</v>
      </c>
      <c r="N559" s="241">
        <f t="shared" si="347"/>
        <v>773104.95</v>
      </c>
      <c r="O559" s="201">
        <f>O560</f>
        <v>773104.95</v>
      </c>
      <c r="P559" s="293">
        <f>P560</f>
        <v>873714.19</v>
      </c>
      <c r="Q559" s="293">
        <f t="shared" si="347"/>
        <v>0</v>
      </c>
      <c r="R559" s="293">
        <f t="shared" si="347"/>
        <v>0</v>
      </c>
      <c r="S559" s="293">
        <f t="shared" si="347"/>
        <v>0</v>
      </c>
      <c r="T559" s="293">
        <f t="shared" si="347"/>
        <v>0</v>
      </c>
      <c r="U559" s="293">
        <f t="shared" si="347"/>
        <v>0</v>
      </c>
      <c r="V559" s="293">
        <f t="shared" si="347"/>
        <v>0</v>
      </c>
      <c r="W559" s="293">
        <f t="shared" si="347"/>
        <v>863327.53999999992</v>
      </c>
      <c r="X559" s="320"/>
      <c r="Y559" s="320"/>
      <c r="Z559" s="353"/>
      <c r="AA559" s="293">
        <f>AA560</f>
        <v>61403.24</v>
      </c>
      <c r="AB559" s="293">
        <f t="shared" si="348"/>
        <v>863327.53999999992</v>
      </c>
    </row>
    <row r="560" spans="1:28" ht="89.25" x14ac:dyDescent="0.2">
      <c r="A560" s="242" t="s">
        <v>380</v>
      </c>
      <c r="B560" s="114">
        <v>804</v>
      </c>
      <c r="C560" s="36" t="s">
        <v>374</v>
      </c>
      <c r="D560" s="162" t="s">
        <v>375</v>
      </c>
      <c r="E560" s="77" t="s">
        <v>376</v>
      </c>
      <c r="F560" s="36"/>
      <c r="G560" s="36"/>
      <c r="H560" s="37">
        <f>SUM(H561:H564)</f>
        <v>773104.95</v>
      </c>
      <c r="I560" s="37">
        <f t="shared" ref="I560:N560" si="349">SUM(I561:I564)</f>
        <v>0</v>
      </c>
      <c r="J560" s="37">
        <f t="shared" si="349"/>
        <v>0</v>
      </c>
      <c r="K560" s="38">
        <f t="shared" si="349"/>
        <v>0</v>
      </c>
      <c r="L560" s="38">
        <f t="shared" si="349"/>
        <v>0</v>
      </c>
      <c r="M560" s="38">
        <f t="shared" si="349"/>
        <v>0</v>
      </c>
      <c r="N560" s="39">
        <f t="shared" si="349"/>
        <v>773104.95</v>
      </c>
      <c r="O560" s="37">
        <f>SUM(O561:O564)</f>
        <v>773104.95</v>
      </c>
      <c r="P560" s="60">
        <f>SUM(P561:P564)</f>
        <v>873714.19</v>
      </c>
      <c r="Q560" s="37">
        <f>R560+S560+T560+U560+V560</f>
        <v>0</v>
      </c>
      <c r="R560" s="37"/>
      <c r="S560" s="37"/>
      <c r="T560" s="37"/>
      <c r="U560" s="37"/>
      <c r="V560" s="37"/>
      <c r="W560" s="37">
        <f>SUM(W561:W564)</f>
        <v>863327.53999999992</v>
      </c>
      <c r="X560" s="320"/>
      <c r="Y560" s="320"/>
      <c r="Z560" s="353"/>
      <c r="AA560" s="37">
        <f>SUM(AA561:AA564)</f>
        <v>61403.24</v>
      </c>
      <c r="AB560" s="37">
        <f>SUM(AB561:AB564)</f>
        <v>863327.53999999992</v>
      </c>
    </row>
    <row r="561" spans="1:29" x14ac:dyDescent="0.2">
      <c r="A561" s="242" t="s">
        <v>381</v>
      </c>
      <c r="B561" s="94"/>
      <c r="C561" s="31"/>
      <c r="D561" s="31"/>
      <c r="E561" s="32"/>
      <c r="F561" s="31"/>
      <c r="G561" s="31"/>
      <c r="H561" s="37">
        <v>157204.95000000001</v>
      </c>
      <c r="I561" s="37">
        <f>SUM(J561:M561)</f>
        <v>0</v>
      </c>
      <c r="J561" s="37"/>
      <c r="K561" s="38"/>
      <c r="L561" s="38"/>
      <c r="M561" s="38"/>
      <c r="N561" s="39">
        <f>H561+I561</f>
        <v>157204.95000000001</v>
      </c>
      <c r="O561" s="37">
        <v>157204.95000000001</v>
      </c>
      <c r="P561" s="60">
        <v>340644.77</v>
      </c>
      <c r="Q561" s="37">
        <f>R561+S561+T561+U561+V561</f>
        <v>0</v>
      </c>
      <c r="R561" s="37"/>
      <c r="S561" s="37"/>
      <c r="T561" s="37"/>
      <c r="U561" s="37"/>
      <c r="V561" s="37"/>
      <c r="W561" s="37">
        <v>340644.77</v>
      </c>
      <c r="X561" s="320"/>
      <c r="Y561" s="320"/>
      <c r="Z561" s="353"/>
      <c r="AA561" s="37">
        <v>61403.24</v>
      </c>
      <c r="AB561" s="37">
        <v>340644.77</v>
      </c>
    </row>
    <row r="562" spans="1:29" x14ac:dyDescent="0.2">
      <c r="A562" s="242" t="s">
        <v>382</v>
      </c>
      <c r="B562" s="94"/>
      <c r="C562" s="31"/>
      <c r="D562" s="31"/>
      <c r="E562" s="32"/>
      <c r="F562" s="31"/>
      <c r="G562" s="31"/>
      <c r="H562" s="37">
        <v>0</v>
      </c>
      <c r="I562" s="37"/>
      <c r="J562" s="37"/>
      <c r="K562" s="38"/>
      <c r="L562" s="38"/>
      <c r="M562" s="38"/>
      <c r="N562" s="39"/>
      <c r="O562" s="37">
        <v>0</v>
      </c>
      <c r="P562" s="60">
        <v>0</v>
      </c>
      <c r="Q562" s="37">
        <f>R562+S562+T562+U562</f>
        <v>0</v>
      </c>
      <c r="R562" s="37"/>
      <c r="S562" s="37"/>
      <c r="T562" s="37"/>
      <c r="U562" s="37"/>
      <c r="V562" s="37"/>
      <c r="W562" s="37">
        <f>P562+Q562</f>
        <v>0</v>
      </c>
      <c r="X562" s="320"/>
      <c r="Y562" s="320"/>
      <c r="Z562" s="353"/>
      <c r="AA562" s="37"/>
      <c r="AB562" s="37">
        <f>U562+V562</f>
        <v>0</v>
      </c>
    </row>
    <row r="563" spans="1:29" x14ac:dyDescent="0.2">
      <c r="A563" s="242" t="s">
        <v>383</v>
      </c>
      <c r="B563" s="94"/>
      <c r="C563" s="31"/>
      <c r="D563" s="31"/>
      <c r="E563" s="32"/>
      <c r="F563" s="31"/>
      <c r="G563" s="31"/>
      <c r="H563" s="37">
        <v>499000</v>
      </c>
      <c r="I563" s="37">
        <f>SUM(J563:M563)</f>
        <v>0</v>
      </c>
      <c r="J563" s="37"/>
      <c r="K563" s="38"/>
      <c r="L563" s="38"/>
      <c r="M563" s="38"/>
      <c r="N563" s="39">
        <f>H563+I563</f>
        <v>499000</v>
      </c>
      <c r="O563" s="37">
        <v>499000</v>
      </c>
      <c r="P563" s="60">
        <v>455193.42</v>
      </c>
      <c r="Q563" s="37">
        <f>R563+S563+T563+U563+V563</f>
        <v>0</v>
      </c>
      <c r="R563" s="37"/>
      <c r="S563" s="37"/>
      <c r="T563" s="37"/>
      <c r="U563" s="37"/>
      <c r="V563" s="37"/>
      <c r="W563" s="37">
        <v>455193.42</v>
      </c>
      <c r="X563" s="320"/>
      <c r="Y563" s="320"/>
      <c r="Z563" s="353"/>
      <c r="AA563" s="37"/>
      <c r="AB563" s="37">
        <v>455193.42</v>
      </c>
    </row>
    <row r="564" spans="1:29" x14ac:dyDescent="0.2">
      <c r="A564" s="242" t="s">
        <v>384</v>
      </c>
      <c r="B564" s="94"/>
      <c r="C564" s="31"/>
      <c r="D564" s="31"/>
      <c r="E564" s="32"/>
      <c r="F564" s="31"/>
      <c r="G564" s="31"/>
      <c r="H564" s="37">
        <v>116900</v>
      </c>
      <c r="I564" s="37">
        <f>SUM(J564:M564)</f>
        <v>0</v>
      </c>
      <c r="J564" s="37"/>
      <c r="K564" s="38"/>
      <c r="L564" s="38"/>
      <c r="M564" s="38"/>
      <c r="N564" s="39">
        <f>H564+I564</f>
        <v>116900</v>
      </c>
      <c r="O564" s="37">
        <v>116900</v>
      </c>
      <c r="P564" s="60">
        <v>77876</v>
      </c>
      <c r="Q564" s="37">
        <f>R564+S564+T564+U564+V564</f>
        <v>0</v>
      </c>
      <c r="R564" s="37"/>
      <c r="S564" s="37"/>
      <c r="T564" s="37"/>
      <c r="U564" s="37"/>
      <c r="V564" s="37"/>
      <c r="W564" s="37">
        <v>67489.350000000006</v>
      </c>
      <c r="X564" s="320"/>
      <c r="Y564" s="320"/>
      <c r="Z564" s="353"/>
      <c r="AA564" s="37"/>
      <c r="AB564" s="37">
        <v>67489.350000000006</v>
      </c>
    </row>
    <row r="565" spans="1:29" ht="13.5" thickBot="1" x14ac:dyDescent="0.25">
      <c r="A565" s="243" t="s">
        <v>385</v>
      </c>
      <c r="B565" s="244"/>
      <c r="C565" s="245"/>
      <c r="D565" s="245"/>
      <c r="E565" s="246"/>
      <c r="F565" s="245"/>
      <c r="G565" s="245"/>
      <c r="H565" s="247">
        <f t="shared" ref="H565:O565" si="350">H10+H186+H212+H229+H269+H384+H396+H511+H531+H556</f>
        <v>83903940.849999994</v>
      </c>
      <c r="I565" s="247" t="e">
        <f t="shared" si="350"/>
        <v>#REF!</v>
      </c>
      <c r="J565" s="247" t="e">
        <f t="shared" si="350"/>
        <v>#REF!</v>
      </c>
      <c r="K565" s="247" t="e">
        <f t="shared" si="350"/>
        <v>#REF!</v>
      </c>
      <c r="L565" s="247" t="e">
        <f t="shared" si="350"/>
        <v>#REF!</v>
      </c>
      <c r="M565" s="247" t="e">
        <f t="shared" si="350"/>
        <v>#REF!</v>
      </c>
      <c r="N565" s="247" t="e">
        <f t="shared" si="350"/>
        <v>#REF!</v>
      </c>
      <c r="O565" s="247">
        <f t="shared" si="350"/>
        <v>76902980.340000004</v>
      </c>
      <c r="P565" s="297">
        <f t="shared" ref="P565:V565" si="351">P10+P186+P212+P229+P269+P384+P396+P511+P531+P556+P381+P393</f>
        <v>129441633.95999999</v>
      </c>
      <c r="Q565" s="297">
        <f t="shared" si="351"/>
        <v>9862314.7899999991</v>
      </c>
      <c r="R565" s="297">
        <f t="shared" si="351"/>
        <v>-5.8207660913467407E-11</v>
      </c>
      <c r="S565" s="297">
        <f t="shared" si="351"/>
        <v>1932153.23</v>
      </c>
      <c r="T565" s="297">
        <f t="shared" si="351"/>
        <v>242400.56</v>
      </c>
      <c r="U565" s="297">
        <f t="shared" si="351"/>
        <v>0</v>
      </c>
      <c r="V565" s="297">
        <f t="shared" si="351"/>
        <v>7687761</v>
      </c>
      <c r="W565" s="375">
        <f>W10+W186+W212+W229+W269+W384+W396+W511+W531+W556+W381+W393</f>
        <v>90666901.694999993</v>
      </c>
      <c r="X565" s="320"/>
      <c r="Y565" s="320">
        <f>P565+Q565</f>
        <v>139303948.75</v>
      </c>
      <c r="Z565" s="353"/>
      <c r="AA565" s="297">
        <f>AA10+AA186+AA212+AA229+AA269+AA384+AA396+AA511+AA531+AA556+AA381+AA393</f>
        <v>11723100.000000002</v>
      </c>
      <c r="AB565" s="375">
        <f>AB10+AB186+AB212+AB229+AB269+AB384+AB396+AB511+AB531+AB556+AB381+AB393</f>
        <v>74279583.655000001</v>
      </c>
    </row>
    <row r="566" spans="1:29" x14ac:dyDescent="0.2">
      <c r="D566" s="427"/>
      <c r="E566" s="428"/>
      <c r="F566" s="427"/>
      <c r="G566" s="427"/>
      <c r="H566" s="370"/>
      <c r="I566" s="370"/>
      <c r="J566" s="370"/>
      <c r="K566" s="320"/>
      <c r="L566" s="320"/>
      <c r="M566" s="320"/>
      <c r="N566" s="320"/>
      <c r="O566" s="370"/>
      <c r="P566" s="429"/>
      <c r="Q566" s="370"/>
      <c r="R566" s="370"/>
      <c r="S566" s="370"/>
      <c r="T566" s="370"/>
      <c r="U566" s="370"/>
      <c r="V566" s="370"/>
      <c r="W566" s="370"/>
      <c r="X566" s="320"/>
      <c r="Y566" s="320"/>
      <c r="Z566" s="353"/>
      <c r="AA566" s="353"/>
      <c r="AB566" s="353"/>
      <c r="AC566" s="353"/>
    </row>
    <row r="567" spans="1:29" x14ac:dyDescent="0.2">
      <c r="B567" s="409"/>
      <c r="C567" s="409"/>
      <c r="D567" s="427"/>
      <c r="E567" s="428"/>
      <c r="F567" s="427"/>
      <c r="G567" s="427"/>
      <c r="H567" s="370"/>
      <c r="I567" s="370"/>
      <c r="J567" s="430"/>
      <c r="K567" s="320"/>
      <c r="L567" s="320"/>
      <c r="M567" s="320"/>
      <c r="N567" s="320"/>
      <c r="O567" s="370"/>
      <c r="P567" s="429"/>
      <c r="Q567" s="370"/>
      <c r="R567" s="370"/>
      <c r="S567" s="370"/>
      <c r="T567" s="370"/>
      <c r="U567" s="370"/>
      <c r="V567" s="370"/>
      <c r="W567" s="370"/>
      <c r="X567" s="320"/>
      <c r="Y567" s="320"/>
      <c r="Z567" s="353"/>
      <c r="AA567" s="353"/>
      <c r="AB567" s="353"/>
      <c r="AC567" s="353"/>
    </row>
    <row r="568" spans="1:29" x14ac:dyDescent="0.2">
      <c r="B568" s="410"/>
      <c r="C568" s="410"/>
      <c r="D568" s="431"/>
      <c r="E568" s="432"/>
      <c r="F568" s="427"/>
      <c r="G568" s="427"/>
      <c r="H568" s="370"/>
      <c r="I568" s="372"/>
      <c r="J568" s="372"/>
      <c r="K568" s="353"/>
      <c r="L568" s="353"/>
      <c r="M568" s="353"/>
      <c r="N568" s="353"/>
      <c r="O568" s="353"/>
      <c r="P568" s="433"/>
      <c r="Q568" s="320"/>
      <c r="R568" s="320"/>
      <c r="S568" s="320"/>
      <c r="T568" s="320"/>
      <c r="U568" s="320"/>
      <c r="V568" s="320"/>
      <c r="W568" s="320"/>
      <c r="X568" s="320"/>
      <c r="Y568" s="320"/>
      <c r="Z568" s="353"/>
      <c r="AA568" s="353"/>
      <c r="AB568" s="353"/>
      <c r="AC568" s="353"/>
    </row>
    <row r="569" spans="1:29" x14ac:dyDescent="0.2">
      <c r="B569" s="388"/>
      <c r="C569" s="388"/>
      <c r="D569" s="431"/>
      <c r="E569" s="432"/>
      <c r="F569" s="427"/>
      <c r="G569" s="427"/>
      <c r="H569" s="370"/>
      <c r="I569" s="372"/>
      <c r="J569" s="372"/>
      <c r="K569" s="353"/>
      <c r="L569" s="353"/>
      <c r="M569" s="353"/>
      <c r="N569" s="353"/>
      <c r="O569" s="353"/>
      <c r="P569" s="433"/>
      <c r="Q569" s="353"/>
      <c r="R569" s="320"/>
      <c r="S569" s="320"/>
      <c r="T569" s="320"/>
      <c r="U569" s="353"/>
      <c r="V569" s="353"/>
      <c r="W569" s="320"/>
      <c r="X569" s="320"/>
      <c r="Y569" s="320"/>
      <c r="Z569" s="353"/>
      <c r="AA569" s="353"/>
      <c r="AB569" s="353"/>
      <c r="AC569" s="353"/>
    </row>
    <row r="570" spans="1:29" x14ac:dyDescent="0.2">
      <c r="B570" s="404"/>
      <c r="C570" s="404"/>
      <c r="D570" s="434"/>
      <c r="E570" s="434"/>
      <c r="F570" s="434"/>
      <c r="G570" s="427"/>
      <c r="H570" s="370"/>
      <c r="I570" s="372"/>
      <c r="J570" s="372"/>
      <c r="K570" s="353"/>
      <c r="L570" s="353"/>
      <c r="M570" s="353"/>
      <c r="N570" s="353"/>
      <c r="O570" s="353"/>
      <c r="P570" s="433"/>
      <c r="Q570" s="320"/>
      <c r="R570" s="320"/>
      <c r="S570" s="353"/>
      <c r="T570" s="320"/>
      <c r="U570" s="353"/>
      <c r="V570" s="353"/>
      <c r="W570" s="435"/>
      <c r="X570" s="435"/>
      <c r="Y570" s="320"/>
      <c r="Z570" s="353"/>
      <c r="AA570" s="353"/>
      <c r="AB570" s="353"/>
      <c r="AC570" s="353"/>
    </row>
    <row r="571" spans="1:29" ht="18.75" x14ac:dyDescent="0.3">
      <c r="A571" s="278"/>
      <c r="B571" s="408"/>
      <c r="C571" s="408"/>
      <c r="D571" s="436"/>
      <c r="E571" s="436"/>
      <c r="F571" s="437"/>
      <c r="G571" s="437"/>
      <c r="H571" s="438"/>
      <c r="I571" s="439"/>
      <c r="J571" s="439"/>
      <c r="K571" s="440"/>
      <c r="L571" s="440"/>
      <c r="M571" s="440"/>
      <c r="N571" s="440"/>
      <c r="O571" s="440"/>
      <c r="P571" s="441"/>
      <c r="Q571" s="442"/>
      <c r="R571" s="442"/>
      <c r="S571" s="353"/>
      <c r="T571" s="320"/>
      <c r="U571" s="353"/>
      <c r="V571" s="353"/>
      <c r="W571" s="320"/>
      <c r="X571" s="320"/>
      <c r="Y571" s="320"/>
      <c r="Z571" s="353"/>
      <c r="AA571" s="353"/>
      <c r="AB571" s="353"/>
      <c r="AC571" s="353"/>
    </row>
    <row r="572" spans="1:29" x14ac:dyDescent="0.2">
      <c r="A572" s="58"/>
      <c r="B572" s="407"/>
      <c r="C572" s="407"/>
      <c r="D572" s="436"/>
      <c r="E572" s="436"/>
      <c r="F572" s="443"/>
      <c r="G572" s="443"/>
      <c r="H572" s="444"/>
      <c r="I572" s="445"/>
      <c r="J572" s="445"/>
      <c r="K572" s="358"/>
      <c r="L572" s="358"/>
      <c r="M572" s="358"/>
      <c r="N572" s="358"/>
      <c r="O572" s="358"/>
      <c r="P572" s="446"/>
      <c r="Q572" s="358"/>
      <c r="R572" s="358"/>
      <c r="S572" s="353"/>
      <c r="T572" s="320"/>
      <c r="U572" s="353"/>
      <c r="V572" s="353"/>
      <c r="W572" s="320"/>
      <c r="X572" s="320"/>
      <c r="Y572" s="320"/>
      <c r="Z572" s="353"/>
      <c r="AA572" s="353"/>
      <c r="AB572" s="353"/>
      <c r="AC572" s="353"/>
    </row>
    <row r="573" spans="1:29" x14ac:dyDescent="0.2">
      <c r="A573" s="58"/>
      <c r="B573" s="403"/>
      <c r="C573" s="403"/>
      <c r="D573" s="431"/>
      <c r="E573" s="432"/>
      <c r="F573" s="431"/>
      <c r="G573" s="431"/>
      <c r="H573" s="370"/>
      <c r="I573" s="372"/>
      <c r="J573" s="372"/>
      <c r="K573" s="353"/>
      <c r="L573" s="353"/>
      <c r="M573" s="353"/>
      <c r="N573" s="353"/>
      <c r="O573" s="353"/>
      <c r="P573" s="447"/>
      <c r="Q573" s="353"/>
      <c r="R573" s="353"/>
      <c r="S573" s="353"/>
      <c r="T573" s="320"/>
      <c r="U573" s="353"/>
      <c r="V573" s="353"/>
      <c r="W573" s="320"/>
      <c r="X573" s="320"/>
      <c r="Y573" s="320"/>
      <c r="Z573" s="353"/>
      <c r="AA573" s="353"/>
      <c r="AB573" s="353"/>
      <c r="AC573" s="353"/>
    </row>
    <row r="574" spans="1:29" s="58" customFormat="1" x14ac:dyDescent="0.2">
      <c r="B574" s="415"/>
      <c r="C574" s="415"/>
      <c r="D574" s="448"/>
      <c r="E574" s="361"/>
      <c r="F574" s="449"/>
      <c r="G574" s="449"/>
      <c r="H574" s="450"/>
      <c r="I574" s="451"/>
      <c r="J574" s="451"/>
      <c r="K574" s="356"/>
      <c r="L574" s="356"/>
      <c r="M574" s="356"/>
      <c r="N574" s="356"/>
      <c r="O574" s="356"/>
      <c r="P574" s="452"/>
      <c r="Q574" s="356"/>
      <c r="R574" s="356"/>
      <c r="S574" s="321"/>
      <c r="T574" s="356"/>
      <c r="U574" s="356"/>
      <c r="V574" s="356"/>
      <c r="W574" s="321"/>
      <c r="X574" s="321"/>
      <c r="Y574" s="321"/>
      <c r="Z574" s="356"/>
      <c r="AA574" s="356"/>
      <c r="AB574" s="356"/>
      <c r="AC574" s="356"/>
    </row>
    <row r="575" spans="1:29" x14ac:dyDescent="0.2">
      <c r="B575" s="403"/>
      <c r="C575" s="403"/>
      <c r="D575" s="431"/>
      <c r="E575" s="428"/>
      <c r="F575" s="427"/>
      <c r="G575" s="427"/>
      <c r="H575" s="370"/>
      <c r="I575" s="372"/>
      <c r="J575" s="372"/>
      <c r="K575" s="353"/>
      <c r="L575" s="353"/>
      <c r="M575" s="353"/>
      <c r="N575" s="353"/>
      <c r="O575" s="353"/>
      <c r="P575" s="447"/>
      <c r="Q575" s="353"/>
      <c r="R575" s="353"/>
      <c r="S575" s="320"/>
      <c r="T575" s="353"/>
      <c r="U575" s="353"/>
      <c r="V575" s="353"/>
      <c r="W575" s="320"/>
      <c r="X575" s="320"/>
      <c r="Y575" s="320"/>
      <c r="Z575" s="353"/>
      <c r="AA575" s="353"/>
      <c r="AB575" s="353"/>
      <c r="AC575" s="353"/>
    </row>
    <row r="576" spans="1:29" x14ac:dyDescent="0.2">
      <c r="B576" s="403"/>
      <c r="C576" s="403"/>
      <c r="D576" s="431"/>
      <c r="E576" s="428"/>
      <c r="F576" s="427"/>
      <c r="G576" s="427"/>
      <c r="H576" s="370"/>
      <c r="I576" s="372"/>
      <c r="J576" s="372"/>
      <c r="K576" s="353"/>
      <c r="L576" s="353"/>
      <c r="M576" s="353"/>
      <c r="N576" s="353"/>
      <c r="O576" s="353"/>
      <c r="P576" s="447"/>
      <c r="Q576" s="353"/>
      <c r="R576" s="353"/>
      <c r="S576" s="320"/>
      <c r="T576" s="353"/>
      <c r="U576" s="320"/>
      <c r="V576" s="320"/>
      <c r="W576" s="320"/>
      <c r="X576" s="320"/>
      <c r="Y576" s="320"/>
      <c r="Z576" s="353"/>
      <c r="AA576" s="353"/>
      <c r="AB576" s="353"/>
      <c r="AC576" s="353"/>
    </row>
    <row r="577" spans="1:29" s="58" customFormat="1" x14ac:dyDescent="0.2">
      <c r="B577" s="415"/>
      <c r="C577" s="415"/>
      <c r="D577" s="449"/>
      <c r="E577" s="361"/>
      <c r="F577" s="449"/>
      <c r="G577" s="449"/>
      <c r="H577" s="450"/>
      <c r="I577" s="451"/>
      <c r="J577" s="451"/>
      <c r="K577" s="356"/>
      <c r="L577" s="356"/>
      <c r="M577" s="356"/>
      <c r="N577" s="356"/>
      <c r="O577" s="356"/>
      <c r="P577" s="453"/>
      <c r="Q577" s="321"/>
      <c r="R577" s="321"/>
      <c r="S577" s="321"/>
      <c r="T577" s="321"/>
      <c r="U577" s="321"/>
      <c r="V577" s="321"/>
      <c r="W577" s="321"/>
      <c r="X577" s="321"/>
      <c r="Y577" s="321"/>
      <c r="Z577" s="356"/>
      <c r="AA577" s="356"/>
      <c r="AB577" s="356"/>
      <c r="AC577" s="356"/>
    </row>
    <row r="578" spans="1:29" x14ac:dyDescent="0.2">
      <c r="B578" s="403"/>
      <c r="C578" s="409"/>
      <c r="P578" s="312"/>
      <c r="Q578" s="80"/>
      <c r="R578" s="80"/>
      <c r="S578" s="318"/>
      <c r="T578" s="80"/>
      <c r="U578" s="80"/>
      <c r="V578" s="80"/>
      <c r="W578" s="80"/>
    </row>
    <row r="579" spans="1:29" x14ac:dyDescent="0.2">
      <c r="S579" s="43"/>
    </row>
    <row r="580" spans="1:29" x14ac:dyDescent="0.2">
      <c r="B580" s="415"/>
      <c r="C580" s="415"/>
    </row>
    <row r="581" spans="1:29" x14ac:dyDescent="0.2">
      <c r="A581" s="251"/>
      <c r="B581" s="409"/>
      <c r="C581" s="409"/>
      <c r="D581" s="252"/>
    </row>
    <row r="582" spans="1:29" x14ac:dyDescent="0.2">
      <c r="A582" s="253"/>
      <c r="B582" s="414"/>
      <c r="C582" s="414"/>
      <c r="D582" s="254"/>
      <c r="E582" s="255"/>
      <c r="F582" s="392"/>
      <c r="G582" s="392"/>
      <c r="H582" s="256"/>
      <c r="I582" s="257"/>
      <c r="J582" s="257"/>
      <c r="K582" s="258"/>
      <c r="L582" s="258"/>
      <c r="M582" s="258"/>
      <c r="N582" s="258"/>
      <c r="O582" s="258"/>
      <c r="P582" s="253"/>
    </row>
    <row r="583" spans="1:29" x14ac:dyDescent="0.2">
      <c r="A583" s="258"/>
      <c r="B583" s="416"/>
      <c r="C583" s="417"/>
      <c r="D583" s="254"/>
      <c r="E583" s="255"/>
      <c r="F583" s="392"/>
      <c r="G583" s="392"/>
      <c r="H583" s="256"/>
      <c r="I583" s="257"/>
      <c r="J583" s="257"/>
      <c r="K583" s="258"/>
      <c r="L583" s="258"/>
      <c r="M583" s="258"/>
      <c r="N583" s="258"/>
      <c r="O583" s="258"/>
      <c r="P583" s="253"/>
    </row>
    <row r="584" spans="1:29" x14ac:dyDescent="0.2">
      <c r="A584" s="258"/>
      <c r="B584" s="413"/>
      <c r="C584" s="413"/>
      <c r="D584" s="254"/>
      <c r="E584" s="255"/>
      <c r="F584" s="392"/>
      <c r="G584" s="392"/>
      <c r="H584" s="256"/>
      <c r="I584" s="257"/>
      <c r="J584" s="257"/>
      <c r="K584" s="258"/>
      <c r="L584" s="258"/>
      <c r="M584" s="258"/>
      <c r="N584" s="258"/>
      <c r="O584" s="258"/>
      <c r="P584" s="253"/>
    </row>
    <row r="585" spans="1:29" x14ac:dyDescent="0.2">
      <c r="A585" s="258"/>
      <c r="B585" s="414"/>
      <c r="C585" s="413"/>
      <c r="D585" s="392"/>
      <c r="E585" s="255"/>
      <c r="F585" s="392"/>
      <c r="G585" s="392"/>
      <c r="H585" s="256"/>
      <c r="I585" s="257"/>
      <c r="J585" s="257"/>
      <c r="K585" s="258"/>
      <c r="L585" s="258"/>
      <c r="M585" s="258"/>
      <c r="N585" s="258"/>
      <c r="O585" s="258"/>
      <c r="P585" s="253"/>
    </row>
  </sheetData>
  <mergeCells count="42">
    <mergeCell ref="H7:H8"/>
    <mergeCell ref="I7:I8"/>
    <mergeCell ref="J7:J8"/>
    <mergeCell ref="K7:K8"/>
    <mergeCell ref="L7:L8"/>
    <mergeCell ref="D3:M3"/>
    <mergeCell ref="Q3:R3"/>
    <mergeCell ref="T3:U3"/>
    <mergeCell ref="A4:P4"/>
    <mergeCell ref="Z5:AA5"/>
    <mergeCell ref="X7:X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B576:C576"/>
    <mergeCell ref="B567:C567"/>
    <mergeCell ref="B568:C568"/>
    <mergeCell ref="B570:C570"/>
    <mergeCell ref="W570:X570"/>
    <mergeCell ref="B571:C571"/>
    <mergeCell ref="D571:E571"/>
    <mergeCell ref="B572:C572"/>
    <mergeCell ref="D572:E572"/>
    <mergeCell ref="B573:C573"/>
    <mergeCell ref="B574:C574"/>
    <mergeCell ref="B575:C575"/>
    <mergeCell ref="B584:C584"/>
    <mergeCell ref="B585:C585"/>
    <mergeCell ref="B577:C577"/>
    <mergeCell ref="B578:C578"/>
    <mergeCell ref="B580:C580"/>
    <mergeCell ref="B581:C581"/>
    <mergeCell ref="B582:C582"/>
    <mergeCell ref="B583:C58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Исправленное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2018-12-13T05:21:09Z</dcterms:modified>
</cp:coreProperties>
</file>